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ALVARI 22.04.20021\My Documents\CONT DE EXECUTIE AN 2021\"/>
    </mc:Choice>
  </mc:AlternateContent>
  <bookViews>
    <workbookView xWindow="0" yWindow="0" windowWidth="24000" windowHeight="9600"/>
  </bookViews>
  <sheets>
    <sheet name="VENITURI" sheetId="1" r:id="rId1"/>
    <sheet name="CHELTUIELI" sheetId="2" r:id="rId2"/>
  </sheets>
  <definedNames>
    <definedName name="_xlnm.Database">#REF!</definedName>
    <definedName name="_xlnm.Print_Area" localSheetId="0">VENITURI!#REF!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6" i="1" l="1"/>
  <c r="F61" i="1"/>
  <c r="F49" i="1"/>
  <c r="F48" i="1"/>
  <c r="F45" i="1"/>
  <c r="F44" i="1"/>
  <c r="F43" i="1"/>
  <c r="F37" i="1"/>
  <c r="F36" i="1"/>
  <c r="F32" i="1"/>
  <c r="F30" i="1"/>
  <c r="F29" i="1"/>
  <c r="F26" i="1"/>
  <c r="F24" i="1"/>
  <c r="F17" i="1"/>
  <c r="G184" i="2" l="1"/>
  <c r="G176" i="2"/>
  <c r="G116" i="2"/>
  <c r="G100" i="2"/>
  <c r="G88" i="2"/>
  <c r="G208" i="2"/>
  <c r="G207" i="2"/>
  <c r="G193" i="2"/>
  <c r="G191" i="2"/>
  <c r="G190" i="2"/>
  <c r="G189" i="2"/>
  <c r="G194" i="2"/>
  <c r="G197" i="2"/>
  <c r="G77" i="2"/>
  <c r="H75" i="2"/>
  <c r="G62" i="2"/>
  <c r="G60" i="2"/>
  <c r="H59" i="2"/>
  <c r="G58" i="2"/>
  <c r="G57" i="2"/>
  <c r="G55" i="2"/>
  <c r="G54" i="2"/>
  <c r="G52" i="2"/>
  <c r="G51" i="2"/>
  <c r="G50" i="2"/>
  <c r="G49" i="2"/>
  <c r="G48" i="2"/>
  <c r="G46" i="2"/>
  <c r="G42" i="2"/>
  <c r="G32" i="2"/>
  <c r="G31" i="2"/>
  <c r="G28" i="2"/>
  <c r="G27" i="2"/>
  <c r="G26" i="2"/>
  <c r="G25" i="2"/>
  <c r="G178" i="2" l="1"/>
  <c r="G171" i="2"/>
  <c r="G172" i="2"/>
  <c r="G167" i="2"/>
  <c r="G163" i="2"/>
  <c r="G156" i="2"/>
  <c r="G158" i="2"/>
  <c r="G152" i="2" l="1"/>
  <c r="G147" i="2"/>
  <c r="G139" i="2"/>
  <c r="G140" i="2"/>
  <c r="G144" i="2"/>
  <c r="G143" i="2"/>
  <c r="G142" i="2"/>
  <c r="G141" i="2"/>
  <c r="G135" i="2"/>
  <c r="G133" i="2"/>
  <c r="G118" i="2"/>
  <c r="G119" i="2"/>
  <c r="G120" i="2"/>
  <c r="G109" i="2"/>
  <c r="G111" i="2"/>
  <c r="G107" i="2"/>
  <c r="G106" i="2"/>
  <c r="G105" i="2"/>
  <c r="G104" i="2"/>
  <c r="G102" i="2"/>
  <c r="G98" i="2"/>
  <c r="G96" i="2"/>
  <c r="G97" i="2"/>
  <c r="G99" i="2"/>
  <c r="F42" i="1" l="1"/>
  <c r="G198" i="2" l="1"/>
  <c r="G95" i="2" l="1"/>
  <c r="G92" i="2"/>
  <c r="E110" i="2"/>
  <c r="F188" i="2" l="1"/>
  <c r="C188" i="2"/>
  <c r="D146" i="2"/>
  <c r="E146" i="2"/>
  <c r="F146" i="2"/>
  <c r="G146" i="2"/>
  <c r="H146" i="2"/>
  <c r="C146" i="2"/>
  <c r="D91" i="1"/>
  <c r="E91" i="1"/>
  <c r="F91" i="1"/>
  <c r="G91" i="1"/>
  <c r="D95" i="1"/>
  <c r="E95" i="1"/>
  <c r="F95" i="1"/>
  <c r="G95" i="1"/>
  <c r="C95" i="1"/>
  <c r="D110" i="2" l="1"/>
  <c r="F110" i="2"/>
  <c r="G110" i="2"/>
  <c r="H110" i="2"/>
  <c r="C110" i="2"/>
  <c r="C105" i="1" l="1"/>
  <c r="C103" i="1"/>
  <c r="C102" i="1" s="1"/>
  <c r="C101" i="1" s="1"/>
  <c r="C98" i="1" s="1"/>
  <c r="C99" i="1"/>
  <c r="C92" i="1"/>
  <c r="C91" i="1" s="1"/>
  <c r="C89" i="1"/>
  <c r="C88" i="1"/>
  <c r="D170" i="2" l="1"/>
  <c r="E170" i="2"/>
  <c r="F170" i="2"/>
  <c r="G170" i="2"/>
  <c r="H170" i="2"/>
  <c r="C170" i="2"/>
  <c r="D162" i="2"/>
  <c r="E162" i="2"/>
  <c r="F162" i="2"/>
  <c r="G162" i="2"/>
  <c r="H162" i="2"/>
  <c r="C162" i="2"/>
  <c r="D155" i="2"/>
  <c r="E155" i="2"/>
  <c r="F155" i="2"/>
  <c r="G155" i="2"/>
  <c r="H155" i="2"/>
  <c r="C155" i="2"/>
  <c r="D138" i="2"/>
  <c r="E138" i="2"/>
  <c r="F138" i="2"/>
  <c r="G138" i="2"/>
  <c r="H138" i="2"/>
  <c r="C138" i="2"/>
  <c r="D198" i="2" l="1"/>
  <c r="E198" i="2"/>
  <c r="F198" i="2"/>
  <c r="H198" i="2"/>
  <c r="C198" i="2"/>
  <c r="D105" i="1"/>
  <c r="E105" i="1"/>
  <c r="F105" i="1"/>
  <c r="G105" i="1"/>
  <c r="D103" i="1"/>
  <c r="D102" i="1" s="1"/>
  <c r="D101" i="1" s="1"/>
  <c r="E103" i="1"/>
  <c r="E102" i="1" s="1"/>
  <c r="E101" i="1" s="1"/>
  <c r="F103" i="1"/>
  <c r="F102" i="1" s="1"/>
  <c r="F101" i="1" s="1"/>
  <c r="G103" i="1"/>
  <c r="G102" i="1" s="1"/>
  <c r="G101" i="1" s="1"/>
  <c r="D99" i="1"/>
  <c r="E99" i="1"/>
  <c r="F99" i="1"/>
  <c r="G99" i="1"/>
  <c r="D92" i="1"/>
  <c r="E92" i="1"/>
  <c r="F92" i="1"/>
  <c r="G92" i="1"/>
  <c r="D89" i="1"/>
  <c r="D88" i="1" s="1"/>
  <c r="E89" i="1"/>
  <c r="E88" i="1" s="1"/>
  <c r="F89" i="1"/>
  <c r="F88" i="1" s="1"/>
  <c r="G89" i="1"/>
  <c r="G88" i="1" s="1"/>
  <c r="D79" i="1"/>
  <c r="E79" i="1"/>
  <c r="F79" i="1"/>
  <c r="G79" i="1"/>
  <c r="D66" i="1"/>
  <c r="D65" i="1" s="1"/>
  <c r="D64" i="1" s="1"/>
  <c r="E66" i="1"/>
  <c r="E65" i="1" s="1"/>
  <c r="E64" i="1" s="1"/>
  <c r="F66" i="1"/>
  <c r="G66" i="1"/>
  <c r="D62" i="1"/>
  <c r="E62" i="1"/>
  <c r="F62" i="1"/>
  <c r="G62" i="1"/>
  <c r="D58" i="1"/>
  <c r="D57" i="1" s="1"/>
  <c r="E58" i="1"/>
  <c r="E57" i="1" s="1"/>
  <c r="F58" i="1"/>
  <c r="F57" i="1" s="1"/>
  <c r="G58" i="1"/>
  <c r="D55" i="1"/>
  <c r="E55" i="1"/>
  <c r="F55" i="1"/>
  <c r="G55" i="1"/>
  <c r="D53" i="1"/>
  <c r="D52" i="1" s="1"/>
  <c r="E53" i="1"/>
  <c r="E52" i="1" s="1"/>
  <c r="F53" i="1"/>
  <c r="F52" i="1" s="1"/>
  <c r="G53" i="1"/>
  <c r="D28" i="1"/>
  <c r="D27" i="1" s="1"/>
  <c r="E28" i="1"/>
  <c r="E27" i="1" s="1"/>
  <c r="F28" i="1"/>
  <c r="F27" i="1" s="1"/>
  <c r="G28" i="1"/>
  <c r="G27" i="1" s="1"/>
  <c r="D23" i="1"/>
  <c r="E23" i="1"/>
  <c r="F23" i="1"/>
  <c r="G23" i="1"/>
  <c r="D16" i="1"/>
  <c r="E16" i="1"/>
  <c r="E15" i="1" s="1"/>
  <c r="F16" i="1"/>
  <c r="G16" i="1"/>
  <c r="D9" i="1"/>
  <c r="E9" i="1"/>
  <c r="F9" i="1"/>
  <c r="G9" i="1"/>
  <c r="C79" i="1"/>
  <c r="C66" i="1"/>
  <c r="C62" i="1"/>
  <c r="C58" i="1"/>
  <c r="C57" i="1" s="1"/>
  <c r="C55" i="1"/>
  <c r="C53" i="1"/>
  <c r="C52" i="1" s="1"/>
  <c r="C28" i="1"/>
  <c r="C27" i="1" s="1"/>
  <c r="C23" i="1"/>
  <c r="C16" i="1"/>
  <c r="C15" i="1" s="1"/>
  <c r="C9" i="1"/>
  <c r="D15" i="1" l="1"/>
  <c r="D14" i="1" s="1"/>
  <c r="G15" i="1"/>
  <c r="G14" i="1" s="1"/>
  <c r="F65" i="1"/>
  <c r="F64" i="1" s="1"/>
  <c r="F15" i="1"/>
  <c r="F14" i="1" s="1"/>
  <c r="C65" i="1"/>
  <c r="C64" i="1" s="1"/>
  <c r="E98" i="1"/>
  <c r="G98" i="1"/>
  <c r="D98" i="1"/>
  <c r="C51" i="1"/>
  <c r="C14" i="1"/>
  <c r="C8" i="1" s="1"/>
  <c r="C7" i="1" s="1"/>
  <c r="F98" i="1"/>
  <c r="G65" i="1"/>
  <c r="G64" i="1" s="1"/>
  <c r="G57" i="1"/>
  <c r="E51" i="1"/>
  <c r="F51" i="1"/>
  <c r="D51" i="1"/>
  <c r="G52" i="1"/>
  <c r="E14" i="1"/>
  <c r="G51" i="1" l="1"/>
  <c r="G8" i="1" s="1"/>
  <c r="G7" i="1" s="1"/>
  <c r="F8" i="1"/>
  <c r="F7" i="1" s="1"/>
  <c r="D8" i="1"/>
  <c r="D7" i="1" s="1"/>
  <c r="E8" i="1"/>
  <c r="E7" i="1" s="1"/>
  <c r="D205" i="2" l="1"/>
  <c r="D204" i="2" s="1"/>
  <c r="D203" i="2" s="1"/>
  <c r="D202" i="2" s="1"/>
  <c r="D201" i="2" s="1"/>
  <c r="E205" i="2"/>
  <c r="E204" i="2" s="1"/>
  <c r="E203" i="2" s="1"/>
  <c r="E202" i="2" s="1"/>
  <c r="E201" i="2" s="1"/>
  <c r="F205" i="2"/>
  <c r="F204" i="2" s="1"/>
  <c r="F203" i="2" s="1"/>
  <c r="F202" i="2" s="1"/>
  <c r="F201" i="2" s="1"/>
  <c r="G205" i="2"/>
  <c r="G204" i="2" s="1"/>
  <c r="G203" i="2" s="1"/>
  <c r="G202" i="2" s="1"/>
  <c r="G201" i="2" s="1"/>
  <c r="H205" i="2"/>
  <c r="H204" i="2" s="1"/>
  <c r="H203" i="2" s="1"/>
  <c r="H202" i="2" s="1"/>
  <c r="H201" i="2" s="1"/>
  <c r="D206" i="2"/>
  <c r="E206" i="2"/>
  <c r="F206" i="2"/>
  <c r="G206" i="2"/>
  <c r="H206" i="2"/>
  <c r="D192" i="2"/>
  <c r="D188" i="2" s="1"/>
  <c r="D187" i="2" s="1"/>
  <c r="D186" i="2" s="1"/>
  <c r="E192" i="2"/>
  <c r="E188" i="2" s="1"/>
  <c r="E187" i="2" s="1"/>
  <c r="E186" i="2" s="1"/>
  <c r="F192" i="2"/>
  <c r="G192" i="2"/>
  <c r="H192" i="2"/>
  <c r="H188" i="2" s="1"/>
  <c r="H187" i="2" s="1"/>
  <c r="H186" i="2" s="1"/>
  <c r="F187" i="2"/>
  <c r="F186" i="2" s="1"/>
  <c r="D94" i="2"/>
  <c r="E94" i="2"/>
  <c r="F94" i="2"/>
  <c r="G94" i="2"/>
  <c r="H94" i="2"/>
  <c r="C94" i="2"/>
  <c r="G188" i="2" l="1"/>
  <c r="G187" i="2" s="1"/>
  <c r="G186" i="2" s="1"/>
  <c r="D224" i="2"/>
  <c r="E224" i="2"/>
  <c r="F224" i="2"/>
  <c r="G224" i="2"/>
  <c r="H224" i="2"/>
  <c r="C224" i="2"/>
  <c r="F226" i="2" l="1"/>
  <c r="F225" i="2" s="1"/>
  <c r="D227" i="2"/>
  <c r="D226" i="2" s="1"/>
  <c r="D225" i="2" s="1"/>
  <c r="E227" i="2"/>
  <c r="E226" i="2" s="1"/>
  <c r="E225" i="2" s="1"/>
  <c r="F227" i="2"/>
  <c r="G227" i="2"/>
  <c r="G226" i="2" s="1"/>
  <c r="G225" i="2" s="1"/>
  <c r="H227" i="2"/>
  <c r="H226" i="2" s="1"/>
  <c r="H225" i="2" s="1"/>
  <c r="F220" i="2"/>
  <c r="F219" i="2" s="1"/>
  <c r="D221" i="2"/>
  <c r="D220" i="2" s="1"/>
  <c r="D219" i="2" s="1"/>
  <c r="E221" i="2"/>
  <c r="E220" i="2" s="1"/>
  <c r="E219" i="2" s="1"/>
  <c r="F221" i="2"/>
  <c r="G221" i="2"/>
  <c r="G220" i="2" s="1"/>
  <c r="G219" i="2" s="1"/>
  <c r="H221" i="2"/>
  <c r="H220" i="2" s="1"/>
  <c r="H219" i="2" s="1"/>
  <c r="D223" i="2"/>
  <c r="D222" i="2" s="1"/>
  <c r="E223" i="2"/>
  <c r="E222" i="2" s="1"/>
  <c r="F223" i="2"/>
  <c r="F222" i="2" s="1"/>
  <c r="G223" i="2"/>
  <c r="G222" i="2" s="1"/>
  <c r="H223" i="2"/>
  <c r="H222" i="2" s="1"/>
  <c r="D215" i="2"/>
  <c r="E215" i="2"/>
  <c r="F215" i="2"/>
  <c r="G215" i="2"/>
  <c r="G210" i="2" s="1"/>
  <c r="G14" i="2" s="1"/>
  <c r="H215" i="2"/>
  <c r="D211" i="2"/>
  <c r="D210" i="2" s="1"/>
  <c r="D14" i="2" s="1"/>
  <c r="E211" i="2"/>
  <c r="E210" i="2" s="1"/>
  <c r="E14" i="2" s="1"/>
  <c r="F211" i="2"/>
  <c r="F210" i="2" s="1"/>
  <c r="F14" i="2" s="1"/>
  <c r="G211" i="2"/>
  <c r="H211" i="2"/>
  <c r="H210" i="2" s="1"/>
  <c r="H14" i="2" s="1"/>
  <c r="G12" i="2"/>
  <c r="C192" i="2"/>
  <c r="D185" i="2"/>
  <c r="E185" i="2"/>
  <c r="F185" i="2"/>
  <c r="G185" i="2"/>
  <c r="G18" i="2" s="1"/>
  <c r="H185" i="2"/>
  <c r="H18" i="2" s="1"/>
  <c r="E12" i="2"/>
  <c r="D12" i="2"/>
  <c r="F12" i="2"/>
  <c r="H12" i="2"/>
  <c r="D177" i="2"/>
  <c r="E177" i="2"/>
  <c r="E169" i="2" s="1"/>
  <c r="F177" i="2"/>
  <c r="G177" i="2"/>
  <c r="G169" i="2" s="1"/>
  <c r="H177" i="2"/>
  <c r="H169" i="2" s="1"/>
  <c r="D169" i="2"/>
  <c r="F169" i="2"/>
  <c r="D151" i="2"/>
  <c r="D137" i="2" s="1"/>
  <c r="E151" i="2"/>
  <c r="F151" i="2"/>
  <c r="G151" i="2"/>
  <c r="H151" i="2"/>
  <c r="H137" i="2" s="1"/>
  <c r="E137" i="2"/>
  <c r="D127" i="2"/>
  <c r="E127" i="2"/>
  <c r="F127" i="2"/>
  <c r="G127" i="2"/>
  <c r="G117" i="2" s="1"/>
  <c r="H127" i="2"/>
  <c r="D117" i="2"/>
  <c r="E117" i="2"/>
  <c r="F117" i="2"/>
  <c r="H117" i="2"/>
  <c r="E101" i="2"/>
  <c r="G101" i="2"/>
  <c r="D101" i="2"/>
  <c r="F101" i="2"/>
  <c r="H101" i="2"/>
  <c r="D91" i="2"/>
  <c r="E91" i="2"/>
  <c r="F91" i="2"/>
  <c r="G91" i="2"/>
  <c r="H91" i="2"/>
  <c r="F79" i="2"/>
  <c r="F17" i="2" s="1"/>
  <c r="D80" i="2"/>
  <c r="D79" i="2" s="1"/>
  <c r="E80" i="2"/>
  <c r="E79" i="2" s="1"/>
  <c r="F80" i="2"/>
  <c r="G80" i="2"/>
  <c r="G79" i="2" s="1"/>
  <c r="H80" i="2"/>
  <c r="H79" i="2" s="1"/>
  <c r="D75" i="2"/>
  <c r="D15" i="2" s="1"/>
  <c r="E75" i="2"/>
  <c r="E15" i="2" s="1"/>
  <c r="F75" i="2"/>
  <c r="G75" i="2"/>
  <c r="G15" i="2" s="1"/>
  <c r="H15" i="2"/>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D36" i="2"/>
  <c r="E36" i="2"/>
  <c r="F36" i="2"/>
  <c r="G36" i="2"/>
  <c r="H36" i="2"/>
  <c r="D34" i="2"/>
  <c r="E34" i="2"/>
  <c r="F34" i="2"/>
  <c r="G34" i="2"/>
  <c r="H34" i="2"/>
  <c r="F15" i="2"/>
  <c r="D18" i="2"/>
  <c r="E18" i="2"/>
  <c r="F18" i="2"/>
  <c r="D24" i="2"/>
  <c r="E24" i="2"/>
  <c r="F24" i="2"/>
  <c r="G24" i="2"/>
  <c r="H24" i="2"/>
  <c r="C227" i="2"/>
  <c r="C226" i="2" s="1"/>
  <c r="C225" i="2" s="1"/>
  <c r="C223" i="2"/>
  <c r="C222" i="2" s="1"/>
  <c r="C221" i="2"/>
  <c r="C220" i="2" s="1"/>
  <c r="C219" i="2" s="1"/>
  <c r="C215" i="2"/>
  <c r="C211" i="2"/>
  <c r="C206" i="2"/>
  <c r="C205" i="2"/>
  <c r="C204" i="2" s="1"/>
  <c r="C203" i="2" s="1"/>
  <c r="C202" i="2" s="1"/>
  <c r="C201" i="2" s="1"/>
  <c r="C187" i="2"/>
  <c r="C186" i="2" s="1"/>
  <c r="C12" i="2" s="1"/>
  <c r="C185" i="2"/>
  <c r="C177" i="2"/>
  <c r="C151" i="2"/>
  <c r="C127" i="2"/>
  <c r="C117" i="2" s="1"/>
  <c r="C101" i="2"/>
  <c r="C91" i="2"/>
  <c r="C80" i="2"/>
  <c r="C79" i="2" s="1"/>
  <c r="C17" i="2" s="1"/>
  <c r="C78" i="2"/>
  <c r="C16" i="2" s="1"/>
  <c r="C75" i="2"/>
  <c r="C15" i="2" s="1"/>
  <c r="C73" i="2"/>
  <c r="C72" i="2" s="1"/>
  <c r="C69" i="2"/>
  <c r="C61" i="2"/>
  <c r="C59" i="2"/>
  <c r="C36" i="2"/>
  <c r="C34" i="2"/>
  <c r="C24" i="2"/>
  <c r="C23" i="2" s="1"/>
  <c r="C18" i="2"/>
  <c r="C11" i="2"/>
  <c r="H23" i="2" l="1"/>
  <c r="H9" i="2" s="1"/>
  <c r="D23" i="2"/>
  <c r="D9" i="2" s="1"/>
  <c r="E13" i="2"/>
  <c r="G13" i="2"/>
  <c r="H13" i="2"/>
  <c r="F13" i="2"/>
  <c r="D13" i="2"/>
  <c r="G137" i="2"/>
  <c r="F137"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F9" i="2" s="1"/>
  <c r="E23" i="2"/>
  <c r="E9" i="2" s="1"/>
  <c r="G23" i="2"/>
  <c r="G9" i="2" s="1"/>
  <c r="C137" i="2"/>
  <c r="C169" i="2"/>
  <c r="C13" i="2"/>
  <c r="C210" i="2"/>
  <c r="C14" i="2" s="1"/>
  <c r="C9" i="2"/>
  <c r="C90" i="2"/>
  <c r="C89" i="2" l="1"/>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D20" i="2" l="1"/>
  <c r="D19" i="2" s="1"/>
  <c r="C22" i="2"/>
  <c r="C21" i="2" s="1"/>
  <c r="C10" i="2"/>
  <c r="C20" i="2" s="1"/>
  <c r="C19" i="2" s="1"/>
  <c r="G8" i="2"/>
  <c r="G7" i="2" s="1"/>
  <c r="G20" i="2"/>
  <c r="G19" i="2" s="1"/>
  <c r="G22" i="2"/>
  <c r="G21" i="2" s="1"/>
  <c r="G87" i="2"/>
  <c r="F10" i="2"/>
  <c r="F22" i="2"/>
  <c r="F21" i="2" s="1"/>
  <c r="F87" i="2"/>
  <c r="H20" i="2"/>
  <c r="H19" i="2" s="1"/>
  <c r="E20" i="2"/>
  <c r="E19" i="2" s="1"/>
  <c r="C8" i="2" l="1"/>
  <c r="C7" i="2" s="1"/>
  <c r="F20" i="2"/>
  <c r="F19" i="2" s="1"/>
  <c r="F8" i="2"/>
  <c r="F7" i="2" s="1"/>
</calcChain>
</file>

<file path=xl/sharedStrings.xml><?xml version="1.0" encoding="utf-8"?>
<sst xmlns="http://schemas.openxmlformats.org/spreadsheetml/2006/main" count="578" uniqueCount="515">
  <si>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</si>
  <si>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</si>
  <si>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</si>
  <si>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</si>
  <si>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</si>
  <si>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</si>
  <si>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</si>
  <si>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</si>
  <si>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</si>
  <si>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</si>
  <si>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</si>
  <si>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</si>
  <si>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</si>
  <si>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</si>
  <si>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</si>
  <si>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</si>
  <si>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</si>
  <si>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</si>
  <si>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</si>
  <si>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</si>
  <si>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</si>
  <si>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</si>
  <si>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</si>
  <si>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</si>
  <si>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</si>
  <si>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</si>
  <si>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</si>
  <si>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</si>
  <si>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</si>
  <si>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</si>
  <si>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</si>
  <si>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</si>
  <si>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</si>
  <si>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</si>
  <si>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</si>
  <si>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</si>
  <si>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</si>
  <si>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</si>
  <si>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</si>
  <si>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</si>
  <si>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</si>
  <si>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</si>
  <si>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</si>
  <si>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</si>
  <si>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</si>
  <si>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</si>
  <si>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</si>
  <si>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</si>
  <si>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</si>
  <si>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</si>
  <si>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</si>
  <si>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</si>
  <si>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</si>
  <si>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</si>
  <si>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</si>
  <si>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</si>
  <si>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</si>
  <si>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</si>
  <si>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</si>
  <si>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</si>
  <si>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</si>
  <si>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</si>
  <si>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</si>
  <si>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</si>
  <si>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</si>
  <si>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</si>
  <si>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</si>
  <si>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</si>
  <si>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</si>
  <si>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</si>
  <si>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</si>
  <si>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</si>
  <si>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</si>
  <si>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</si>
  <si>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</si>
  <si>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</si>
  <si>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</si>
  <si>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</si>
  <si>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</si>
  <si>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</si>
  <si>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</si>
  <si>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</si>
  <si>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</si>
  <si>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</si>
  <si>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</si>
  <si>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</si>
  <si>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</si>
  <si>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</si>
  <si>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</si>
  <si>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</si>
  <si>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</si>
  <si>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</si>
  <si>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</si>
  <si>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</si>
  <si>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</si>
  <si>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</si>
  <si>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</si>
  <si>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</si>
  <si>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</si>
  <si>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</si>
  <si>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</si>
  <si>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</si>
  <si>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</si>
  <si>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</si>
  <si>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</si>
  <si>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</si>
  <si>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</si>
  <si>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</si>
  <si>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</si>
  <si>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</si>
  <si>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</si>
  <si>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</si>
  <si>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</si>
  <si>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</si>
  <si>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</si>
  <si>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</si>
  <si>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</si>
  <si>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</si>
  <si>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</si>
  <si>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</si>
  <si>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</si>
  <si>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</si>
  <si>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</si>
  <si>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</si>
  <si>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</si>
  <si>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</si>
  <si>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</si>
  <si>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</si>
  <si>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</si>
  <si>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</si>
  <si>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</si>
  <si>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</si>
  <si>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</si>
  <si>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</si>
  <si>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</si>
  <si>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</si>
  <si>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</si>
  <si>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</si>
  <si>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</si>
  <si>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</si>
  <si>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</si>
  <si>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</si>
  <si>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</si>
  <si>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</si>
  <si>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</si>
  <si>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</si>
  <si>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</si>
  <si>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</si>
  <si>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</si>
  <si>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</si>
  <si>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</si>
  <si>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</si>
  <si>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</si>
  <si>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</si>
  <si>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</si>
  <si>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</si>
  <si>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</si>
  <si>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</si>
  <si>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</si>
  <si>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</si>
  <si>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</si>
  <si>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</si>
  <si>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</si>
  <si>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</si>
  <si>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</si>
  <si>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</si>
  <si>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</si>
  <si>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</si>
  <si>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</si>
  <si>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</si>
  <si>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</si>
  <si>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</si>
  <si>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</si>
  <si>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</si>
  <si>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</si>
  <si>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</si>
  <si>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</si>
  <si>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</si>
  <si>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</si>
  <si>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</si>
  <si>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</si>
  <si>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</si>
  <si>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</si>
  <si>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</si>
  <si>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</si>
  <si>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</si>
  <si>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</si>
  <si>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</si>
  <si>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</si>
  <si>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</si>
  <si>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</si>
  <si>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</si>
  <si>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</si>
  <si>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</si>
  <si>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</si>
  <si>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</si>
  <si>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</si>
  <si>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</si>
  <si>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</si>
  <si>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</si>
  <si>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</si>
  <si>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</si>
  <si>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</si>
  <si>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</si>
  <si>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</si>
  <si>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</si>
  <si>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</si>
  <si>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</si>
  <si>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</si>
  <si>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</si>
  <si>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</si>
  <si>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</si>
  <si>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</si>
  <si>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</si>
  <si>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</si>
  <si>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</si>
  <si>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</si>
  <si>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</si>
  <si>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</si>
  <si>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</si>
  <si>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</si>
  <si>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</si>
  <si>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</si>
  <si>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</si>
  <si>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</si>
  <si>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</si>
  <si>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</si>
  <si>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</si>
  <si>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</si>
  <si>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</si>
  <si>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</si>
  <si>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</si>
  <si>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</si>
  <si>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</si>
  <si>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</si>
  <si>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</si>
  <si>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</si>
  <si>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</si>
  <si>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</si>
  <si>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</si>
  <si>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</si>
  <si>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</si>
  <si>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</si>
  <si>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</si>
  <si>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</si>
  <si>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</si>
  <si>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</si>
  <si>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</si>
  <si>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</si>
  <si>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</si>
  <si>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</si>
  <si>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</si>
  <si>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</si>
  <si>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</si>
  <si>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</si>
  <si>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</si>
  <si>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</si>
  <si>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</si>
  <si>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</si>
  <si>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</si>
  <si>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</si>
  <si>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</si>
  <si>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</si>
  <si>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</si>
  <si>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</si>
  <si>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</si>
  <si>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</si>
  <si>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</si>
  <si>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</si>
  <si>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</si>
  <si>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</si>
  <si>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</si>
  <si>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</si>
  <si>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</si>
  <si>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</si>
  <si>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</si>
  <si>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</si>
  <si>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</si>
  <si>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</si>
  <si>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</si>
  <si>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</si>
  <si>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</si>
  <si>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</si>
  <si>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</si>
  <si>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</si>
  <si>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</si>
  <si>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</si>
  <si>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</si>
  <si>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</si>
  <si>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</si>
  <si>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</si>
  <si>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</si>
  <si>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</si>
  <si>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</si>
  <si>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</si>
  <si>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</si>
  <si>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</si>
  <si>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</si>
  <si>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</si>
  <si>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</si>
  <si>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</si>
  <si>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</si>
  <si>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</si>
  <si>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</si>
  <si>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</si>
  <si>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</si>
  <si>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</si>
  <si>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</si>
  <si>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</si>
  <si>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</si>
  <si>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</si>
  <si>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</si>
  <si>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</si>
  <si>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</si>
  <si>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</si>
  <si>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</si>
  <si>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</si>
  <si>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</si>
  <si>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</si>
  <si>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</si>
  <si>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</si>
  <si>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</si>
  <si>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</si>
  <si>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</si>
  <si>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</si>
  <si>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</si>
  <si>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</si>
  <si>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</si>
  <si>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</si>
  <si>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</si>
  <si>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</si>
  <si>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</si>
  <si>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</si>
  <si>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</si>
  <si>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</si>
  <si>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</si>
  <si>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</si>
  <si>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</si>
  <si>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</si>
  <si>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</si>
  <si>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</si>
  <si>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</si>
  <si>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</si>
  <si>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</si>
  <si>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</si>
  <si>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</si>
  <si>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</si>
  <si>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</si>
  <si>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</si>
  <si>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</si>
  <si>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</si>
  <si>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</si>
  <si>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</si>
  <si>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</si>
  <si>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</si>
  <si>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</si>
  <si>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</si>
  <si>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</si>
  <si>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</si>
  <si>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</si>
  <si>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</si>
  <si>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</si>
  <si>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</si>
  <si>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</si>
  <si>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</si>
  <si>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</si>
  <si>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</si>
  <si>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</si>
  <si>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</si>
  <si>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</si>
  <si>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</si>
  <si>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</si>
  <si>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</si>
  <si>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</si>
  <si>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</si>
  <si>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</si>
  <si>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</si>
  <si>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</si>
  <si>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</si>
  <si>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</si>
  <si>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</si>
  <si>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</si>
  <si>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</si>
  <si>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</si>
  <si>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</si>
  <si>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</si>
  <si>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</si>
  <si>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</si>
  <si>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</si>
  <si>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</si>
  <si>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</si>
  <si>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</si>
  <si>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</si>
  <si>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</si>
  <si>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</si>
  <si>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</si>
  <si>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</si>
  <si>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</si>
  <si>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</si>
  <si>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</si>
  <si>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</si>
  <si>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</si>
  <si>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</si>
  <si>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</si>
  <si>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</si>
  <si>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</si>
  <si>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</si>
  <si>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</si>
  <si>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</si>
  <si>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</si>
  <si>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</si>
  <si>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</si>
  <si>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</si>
  <si>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</si>
  <si>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</si>
  <si>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</si>
  <si>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</si>
  <si>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</si>
  <si>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</si>
  <si>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</si>
  <si>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</si>
  <si>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</si>
  <si>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</si>
  <si>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</si>
  <si>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</si>
  <si>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</si>
  <si>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</si>
  <si>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</si>
  <si>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</si>
  <si>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</si>
  <si>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</si>
  <si>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</si>
  <si>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</si>
  <si>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</si>
  <si>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</si>
  <si>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</si>
  <si>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</si>
  <si>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</si>
  <si>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</si>
  <si>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</si>
  <si>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</si>
  <si>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</si>
  <si>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</si>
  <si>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</si>
  <si>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</si>
  <si>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</si>
  <si>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</si>
  <si>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</si>
  <si>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</si>
  <si>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</si>
  <si>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</si>
  <si>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</si>
  <si>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</si>
  <si>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</si>
  <si>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</si>
  <si>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</si>
  <si>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</si>
  <si>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</si>
  <si>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</si>
  <si>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</si>
  <si>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</si>
  <si>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</si>
  <si>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</si>
  <si>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</si>
  <si>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</si>
  <si>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</si>
  <si>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</si>
  <si>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</si>
  <si>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</si>
  <si>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</si>
  <si>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</si>
  <si>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</si>
  <si>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</si>
  <si>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</si>
  <si>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</si>
  <si>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</si>
  <si>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</si>
  <si>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</si>
  <si>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</si>
  <si>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</si>
  <si>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</si>
  <si>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</si>
  <si>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</si>
  <si>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</si>
  <si>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</si>
  <si>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</si>
  <si>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</si>
  <si>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</si>
  <si>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</si>
  <si>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</si>
  <si>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</si>
  <si>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</si>
  <si>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</si>
  <si>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</si>
  <si>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</si>
  <si>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</si>
  <si>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</si>
  <si>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</si>
  <si>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</si>
  <si>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</si>
  <si>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</si>
  <si>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</si>
  <si>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</si>
  <si>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</si>
  <si>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</si>
  <si>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</si>
  <si>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</si>
  <si>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</si>
  <si>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CASA DE ASIGURARI DE SANATATE HUNEDOARA</t>
  </si>
  <si>
    <t>DIRECTOR GENERAL</t>
  </si>
  <si>
    <t>EC. DAVID ADRIAN</t>
  </si>
  <si>
    <t>DR. EC. CUMPANASU ECATERINA</t>
  </si>
  <si>
    <t xml:space="preserve">            DIRECTOR ECONOMIC</t>
  </si>
  <si>
    <t xml:space="preserve">              CONT DE EXECUTIE VENITURI DECEMBRIE 2021</t>
  </si>
  <si>
    <t>CONT DE EXECUTIE CHELTUIELI DECEMBRIE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</si>
</sst>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
  </numFmts>
  <fonts count="18"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05">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0" fontId="15"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FR109"/>
  <sheetViews>
    <sheetView tabSelected="1" zoomScaleNormal="100" workbookViewId="0">
      <pane xSplit="4" ySplit="6" topLeftCell="F94" activePane="bottomRight" state="frozen"/>
      <selection activeCell="C79" sqref="C79:E79"/>
      <selection pane="topRight" activeCell="C79" sqref="C79:E79"/>
      <selection pane="bottomLeft" activeCell="C79" sqref="C79:E79"/>
      <selection pane="bottomRight" activeCell="F107" sqref="F107"/>
    </sheetView>
  </sheetViews>
  <sheetFormatPr defaultRowHeight="15" x14ac:dyDescent="0.3"/>
  <cols>
    <col min="1" max="1" width="11.140625" style="53" customWidth="1"/>
    <col min="2" max="2" width="57.5703125" style="5" customWidth="1"/>
    <col min="3" max="3" width="5.28515625" style="5" customWidth="1"/>
    <col min="4" max="4" width="14" style="46" customWidth="1"/>
    <col min="5" max="5" width="11.28515625" style="46" hidden="1" customWidth="1"/>
    <col min="6" max="6" width="16.7109375" style="5" customWidth="1"/>
    <col min="7" max="7" width="17.7109375" style="5" customWidth="1"/>
    <col min="8" max="8" width="10.5703125" style="56" customWidth="1"/>
    <col min="9" max="9" width="2.28515625" style="56" customWidth="1"/>
    <col min="10" max="10" width="9.28515625" style="56" hidden="1" customWidth="1"/>
    <col min="11" max="11" width="10.28515625" style="56" hidden="1" customWidth="1"/>
    <col min="12" max="12" width="9.85546875" style="56" hidden="1"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ht="20.25" x14ac:dyDescent="0.35">
      <c r="B1" s="54" t="s">
        <v>513</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50" ht="17.25" customHeight="1" x14ac:dyDescent="0.35">
      <c r="B2" s="3" t="s">
        <v>508</v>
      </c>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50" x14ac:dyDescent="0.3">
      <c r="A3" s="58"/>
      <c r="B3" s="59"/>
      <c r="C3" s="59"/>
      <c r="D3" s="6"/>
      <c r="E3" s="6"/>
      <c r="F3" s="6"/>
      <c r="G3" s="6"/>
      <c r="EG3" s="60"/>
    </row>
    <row r="4" spans="1:150" ht="12.75" customHeight="1" x14ac:dyDescent="0.3">
      <c r="B4" s="56"/>
      <c r="C4" s="56"/>
      <c r="D4" s="6"/>
      <c r="E4" s="6"/>
      <c r="F4" s="6"/>
      <c r="G4" s="99" t="s">
        <v>0</v>
      </c>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4"/>
      <c r="DJ4" s="104"/>
      <c r="DK4" s="104"/>
      <c r="DL4" s="104"/>
      <c r="DM4" s="104"/>
      <c r="DN4" s="103"/>
      <c r="DO4" s="103"/>
      <c r="DP4" s="103"/>
      <c r="DQ4" s="103"/>
      <c r="DR4" s="103"/>
      <c r="DS4" s="103"/>
      <c r="DT4" s="103"/>
      <c r="DU4" s="103"/>
      <c r="DV4" s="103"/>
      <c r="DW4" s="103"/>
      <c r="DX4" s="103"/>
      <c r="DY4" s="103"/>
      <c r="DZ4" s="103"/>
      <c r="EA4" s="103"/>
      <c r="EB4" s="103"/>
      <c r="EC4" s="103"/>
      <c r="ED4" s="103"/>
      <c r="EE4" s="103"/>
      <c r="EF4" s="103"/>
      <c r="EG4" s="103"/>
    </row>
    <row r="5" spans="1:150" ht="90"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x14ac:dyDescent="0.3">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50" x14ac:dyDescent="0.3">
      <c r="A7" s="65" t="s">
        <v>8</v>
      </c>
      <c r="B7" s="66" t="s">
        <v>9</v>
      </c>
      <c r="C7" s="86">
        <f>+C8+C64+C105+C91+C88</f>
        <v>0</v>
      </c>
      <c r="D7" s="86">
        <f>+D8+D64+D105+D91+D88</f>
        <v>634268800</v>
      </c>
      <c r="E7" s="86">
        <f>+E8+E64+E105+E91+E88</f>
        <v>0</v>
      </c>
      <c r="F7" s="86">
        <f>+F8+F64+F105+F91+F88</f>
        <v>372854222.23000002</v>
      </c>
      <c r="G7" s="86">
        <f>+G8+G64+G105+G91+G88</f>
        <v>34043269.769999996</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50" x14ac:dyDescent="0.3">
      <c r="A8" s="65" t="s">
        <v>10</v>
      </c>
      <c r="B8" s="66" t="s">
        <v>11</v>
      </c>
      <c r="C8" s="86">
        <f>+C14+C51+C9</f>
        <v>0</v>
      </c>
      <c r="D8" s="86">
        <f t="shared" ref="D8:G8" si="0">+D14+D51+D9</f>
        <v>370621000</v>
      </c>
      <c r="E8" s="86">
        <f t="shared" si="0"/>
        <v>0</v>
      </c>
      <c r="F8" s="86">
        <f t="shared" si="0"/>
        <v>371129947.23000002</v>
      </c>
      <c r="G8" s="86">
        <f t="shared" si="0"/>
        <v>31917886.77</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50" x14ac:dyDescent="0.3">
      <c r="A9" s="65" t="s">
        <v>12</v>
      </c>
      <c r="B9" s="66" t="s">
        <v>13</v>
      </c>
      <c r="C9" s="86">
        <f>+C10+C11+C12+C13</f>
        <v>0</v>
      </c>
      <c r="D9" s="86">
        <f t="shared" ref="D9:G9" si="1">+D10+D11+D12+D13</f>
        <v>1000</v>
      </c>
      <c r="E9" s="86">
        <f t="shared" si="1"/>
        <v>0</v>
      </c>
      <c r="F9" s="86">
        <f t="shared" si="1"/>
        <v>668</v>
      </c>
      <c r="G9" s="86">
        <f t="shared" si="1"/>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50" ht="45" x14ac:dyDescent="0.3">
      <c r="A10" s="65" t="s">
        <v>14</v>
      </c>
      <c r="B10" s="66" t="s">
        <v>15</v>
      </c>
      <c r="C10" s="86"/>
      <c r="D10" s="86">
        <v>1000</v>
      </c>
      <c r="E10" s="86"/>
      <c r="F10" s="86">
        <v>668</v>
      </c>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50" ht="45" x14ac:dyDescent="0.3">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ht="30" x14ac:dyDescent="0.3">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ht="45" x14ac:dyDescent="0.3">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x14ac:dyDescent="0.3">
      <c r="A14" s="65" t="s">
        <v>22</v>
      </c>
      <c r="B14" s="66" t="s">
        <v>23</v>
      </c>
      <c r="C14" s="86">
        <f>+C15+C27</f>
        <v>0</v>
      </c>
      <c r="D14" s="86">
        <f t="shared" ref="D14:G14" si="2">+D15+D27</f>
        <v>370225000</v>
      </c>
      <c r="E14" s="86">
        <f t="shared" si="2"/>
        <v>0</v>
      </c>
      <c r="F14" s="86">
        <f t="shared" si="2"/>
        <v>370761377.81</v>
      </c>
      <c r="G14" s="86">
        <f t="shared" si="2"/>
        <v>31884817.5</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x14ac:dyDescent="0.3">
      <c r="A15" s="65" t="s">
        <v>24</v>
      </c>
      <c r="B15" s="66" t="s">
        <v>25</v>
      </c>
      <c r="C15" s="86">
        <f>+C16+C23+C26</f>
        <v>0</v>
      </c>
      <c r="D15" s="86">
        <f t="shared" ref="D15:G15" si="3">+D16+D23+D26</f>
        <v>17307000</v>
      </c>
      <c r="E15" s="86">
        <f t="shared" si="3"/>
        <v>0</v>
      </c>
      <c r="F15" s="86">
        <f t="shared" si="3"/>
        <v>17559041.509999998</v>
      </c>
      <c r="G15" s="86">
        <f t="shared" si="3"/>
        <v>1600538.5</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ht="30" x14ac:dyDescent="0.3">
      <c r="A16" s="65" t="s">
        <v>26</v>
      </c>
      <c r="B16" s="66" t="s">
        <v>27</v>
      </c>
      <c r="C16" s="86">
        <f>C17+C18+C20+C21+C22+C19</f>
        <v>0</v>
      </c>
      <c r="D16" s="86">
        <f t="shared" ref="D16:G16" si="4">D17+D18+D20+D21+D22+D19</f>
        <v>553000</v>
      </c>
      <c r="E16" s="86">
        <f t="shared" si="4"/>
        <v>0</v>
      </c>
      <c r="F16" s="86">
        <f t="shared" si="4"/>
        <v>615999</v>
      </c>
      <c r="G16" s="86">
        <f t="shared" si="4"/>
        <v>49376</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x14ac:dyDescent="0.3">
      <c r="A17" s="67" t="s">
        <v>28</v>
      </c>
      <c r="B17" s="68" t="s">
        <v>29</v>
      </c>
      <c r="C17" s="45"/>
      <c r="D17" s="86">
        <v>553000</v>
      </c>
      <c r="E17" s="86"/>
      <c r="F17" s="45">
        <f>553192+13431+49376</f>
        <v>615999</v>
      </c>
      <c r="G17" s="45">
        <v>49376</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x14ac:dyDescent="0.3">
      <c r="A18" s="67" t="s">
        <v>30</v>
      </c>
      <c r="B18" s="68" t="s">
        <v>31</v>
      </c>
      <c r="C18" s="45"/>
      <c r="D18" s="86"/>
      <c r="E18" s="86"/>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x14ac:dyDescent="0.3">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x14ac:dyDescent="0.3">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x14ac:dyDescent="0.3">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x14ac:dyDescent="0.3">
      <c r="A22" s="67" t="s">
        <v>38</v>
      </c>
      <c r="B22" s="69" t="s">
        <v>39</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x14ac:dyDescent="0.35">
      <c r="A23" s="65" t="s">
        <v>40</v>
      </c>
      <c r="B23" s="70" t="s">
        <v>41</v>
      </c>
      <c r="C23" s="86">
        <f>C24+C25</f>
        <v>0</v>
      </c>
      <c r="D23" s="86">
        <f t="shared" ref="D23:G23" si="5">D24+D25</f>
        <v>20000</v>
      </c>
      <c r="E23" s="86">
        <f t="shared" si="5"/>
        <v>0</v>
      </c>
      <c r="F23" s="86">
        <f t="shared" si="5"/>
        <v>55522</v>
      </c>
      <c r="G23" s="86">
        <f t="shared" si="5"/>
        <v>2413</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x14ac:dyDescent="0.3">
      <c r="A24" s="67" t="s">
        <v>42</v>
      </c>
      <c r="B24" s="69" t="s">
        <v>43</v>
      </c>
      <c r="C24" s="45"/>
      <c r="D24" s="86">
        <v>20000</v>
      </c>
      <c r="E24" s="86"/>
      <c r="F24" s="45">
        <f>52024+1085+2413</f>
        <v>55522</v>
      </c>
      <c r="G24" s="45">
        <v>2413</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x14ac:dyDescent="0.3">
      <c r="A25" s="67" t="s">
        <v>44</v>
      </c>
      <c r="B25" s="69" t="s">
        <v>45</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x14ac:dyDescent="0.3">
      <c r="A26" s="67" t="s">
        <v>46</v>
      </c>
      <c r="B26" s="69" t="s">
        <v>47</v>
      </c>
      <c r="C26" s="45"/>
      <c r="D26" s="86">
        <v>16734000</v>
      </c>
      <c r="E26" s="86"/>
      <c r="F26" s="45">
        <f>13980875.61+1357895.4+1548749.5</f>
        <v>16887520.509999998</v>
      </c>
      <c r="G26" s="45">
        <v>1548749.5</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x14ac:dyDescent="0.3">
      <c r="A27" s="65" t="s">
        <v>48</v>
      </c>
      <c r="B27" s="66" t="s">
        <v>49</v>
      </c>
      <c r="C27" s="86">
        <f>C28+C34+C50+C35+C36+C37+C38+C39+C40+C41+C42+C43+C44+C45+C46+C47+C48+C49</f>
        <v>0</v>
      </c>
      <c r="D27" s="86">
        <f t="shared" ref="D27:G27" si="6">D28+D34+D50+D35+D36+D37+D38+D39+D40+D41+D42+D43+D44+D45+D46+D47+D48+D49</f>
        <v>352918000</v>
      </c>
      <c r="E27" s="86">
        <f t="shared" si="6"/>
        <v>0</v>
      </c>
      <c r="F27" s="86">
        <f t="shared" si="6"/>
        <v>353202336.30000001</v>
      </c>
      <c r="G27" s="86">
        <f t="shared" si="6"/>
        <v>30284279</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x14ac:dyDescent="0.3">
      <c r="A28" s="65" t="s">
        <v>50</v>
      </c>
      <c r="B28" s="66" t="s">
        <v>51</v>
      </c>
      <c r="C28" s="86">
        <f>C29+C30+C31+C32+C33</f>
        <v>0</v>
      </c>
      <c r="D28" s="86">
        <f t="shared" ref="D28:G28" si="7">D29+D30+D31+D32+D33</f>
        <v>340894000</v>
      </c>
      <c r="E28" s="86">
        <f t="shared" si="7"/>
        <v>0</v>
      </c>
      <c r="F28" s="86">
        <f t="shared" si="7"/>
        <v>339642127</v>
      </c>
      <c r="G28" s="86">
        <f t="shared" si="7"/>
        <v>29180666</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x14ac:dyDescent="0.3">
      <c r="A29" s="67" t="s">
        <v>52</v>
      </c>
      <c r="B29" s="68" t="s">
        <v>53</v>
      </c>
      <c r="C29" s="45"/>
      <c r="D29" s="86">
        <v>340894000</v>
      </c>
      <c r="E29" s="86"/>
      <c r="F29" s="45">
        <f>283397522+27481419+29182599</f>
        <v>340061540</v>
      </c>
      <c r="G29" s="45">
        <v>29182599</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x14ac:dyDescent="0.3">
      <c r="A30" s="67" t="s">
        <v>54</v>
      </c>
      <c r="B30" s="69" t="s">
        <v>55</v>
      </c>
      <c r="C30" s="45"/>
      <c r="D30" s="86"/>
      <c r="E30" s="86"/>
      <c r="F30" s="45">
        <f>-512634+21055-1970</f>
        <v>-493549</v>
      </c>
      <c r="G30" s="45">
        <v>-1970</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x14ac:dyDescent="0.3">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x14ac:dyDescent="0.3">
      <c r="A32" s="67" t="s">
        <v>58</v>
      </c>
      <c r="B32" s="68" t="s">
        <v>59</v>
      </c>
      <c r="C32" s="45"/>
      <c r="D32" s="86"/>
      <c r="E32" s="86"/>
      <c r="F32" s="45">
        <f>73426+673+37</f>
        <v>74136</v>
      </c>
      <c r="G32" s="45">
        <v>37</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x14ac:dyDescent="0.3">
      <c r="A33" s="67" t="s">
        <v>60</v>
      </c>
      <c r="B33" s="68" t="s">
        <v>61</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x14ac:dyDescent="0.3">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x14ac:dyDescent="0.3">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x14ac:dyDescent="0.3">
      <c r="A36" s="67" t="s">
        <v>66</v>
      </c>
      <c r="B36" s="68" t="s">
        <v>67</v>
      </c>
      <c r="C36" s="45"/>
      <c r="D36" s="86">
        <v>7000</v>
      </c>
      <c r="E36" s="86"/>
      <c r="F36" s="45">
        <f>6228+338+497</f>
        <v>7063</v>
      </c>
      <c r="G36" s="45">
        <v>497</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x14ac:dyDescent="0.3">
      <c r="A37" s="67" t="s">
        <v>68</v>
      </c>
      <c r="B37" s="68" t="s">
        <v>69</v>
      </c>
      <c r="C37" s="45"/>
      <c r="D37" s="86"/>
      <c r="E37" s="86"/>
      <c r="F37" s="45">
        <f>461+40+182</f>
        <v>683</v>
      </c>
      <c r="G37" s="45">
        <v>182</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x14ac:dyDescent="0.3">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x14ac:dyDescent="0.3">
      <c r="A39" s="67" t="s">
        <v>72</v>
      </c>
      <c r="B39" s="68" t="s">
        <v>73</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x14ac:dyDescent="0.3">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x14ac:dyDescent="0.3">
      <c r="A41" s="67" t="s">
        <v>76</v>
      </c>
      <c r="B41" s="68" t="s">
        <v>77</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x14ac:dyDescent="0.3">
      <c r="A42" s="67" t="s">
        <v>78</v>
      </c>
      <c r="B42" s="68" t="s">
        <v>79</v>
      </c>
      <c r="C42" s="45"/>
      <c r="D42" s="86"/>
      <c r="E42" s="86"/>
      <c r="F42" s="45">
        <f>-26+2</f>
        <v>-24</v>
      </c>
      <c r="G42" s="45">
        <v>0</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x14ac:dyDescent="0.3">
      <c r="A43" s="67" t="s">
        <v>80</v>
      </c>
      <c r="B43" s="68" t="s">
        <v>81</v>
      </c>
      <c r="C43" s="45"/>
      <c r="D43" s="86"/>
      <c r="E43" s="86"/>
      <c r="F43" s="45">
        <f>-20510+654+21</f>
        <v>-19835</v>
      </c>
      <c r="G43" s="45">
        <v>21</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x14ac:dyDescent="0.3">
      <c r="A44" s="67" t="s">
        <v>82</v>
      </c>
      <c r="B44" s="68" t="s">
        <v>83</v>
      </c>
      <c r="C44" s="45"/>
      <c r="D44" s="86">
        <v>1529000</v>
      </c>
      <c r="E44" s="86"/>
      <c r="F44" s="45">
        <f>1273745.5+181071+261480</f>
        <v>1716296.5</v>
      </c>
      <c r="G44" s="45">
        <v>261480</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x14ac:dyDescent="0.3">
      <c r="A45" s="67" t="s">
        <v>84</v>
      </c>
      <c r="B45" s="68" t="s">
        <v>85</v>
      </c>
      <c r="C45" s="45"/>
      <c r="D45" s="86">
        <v>98000</v>
      </c>
      <c r="E45" s="86"/>
      <c r="F45" s="45">
        <f>78002.8+6749+3320</f>
        <v>88071.8</v>
      </c>
      <c r="G45" s="45">
        <v>3320</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x14ac:dyDescent="0.3">
      <c r="A46" s="72" t="s">
        <v>86</v>
      </c>
      <c r="B46" s="73" t="s">
        <v>87</v>
      </c>
      <c r="C46" s="45"/>
      <c r="D46" s="86"/>
      <c r="E46" s="86"/>
      <c r="F46" s="45"/>
      <c r="G46" s="45"/>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x14ac:dyDescent="0.3">
      <c r="A47" s="72" t="s">
        <v>88</v>
      </c>
      <c r="B47" s="73" t="s">
        <v>89</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x14ac:dyDescent="0.3">
      <c r="A48" s="72" t="s">
        <v>90</v>
      </c>
      <c r="B48" s="73" t="s">
        <v>91</v>
      </c>
      <c r="C48" s="45"/>
      <c r="D48" s="86">
        <v>116000</v>
      </c>
      <c r="E48" s="86"/>
      <c r="F48" s="45">
        <f>97414+17740+13415</f>
        <v>128569</v>
      </c>
      <c r="G48" s="45">
        <v>13415</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50" ht="30" x14ac:dyDescent="0.3">
      <c r="A49" s="72" t="s">
        <v>92</v>
      </c>
      <c r="B49" s="73" t="s">
        <v>93</v>
      </c>
      <c r="C49" s="45"/>
      <c r="D49" s="86">
        <v>10274000</v>
      </c>
      <c r="E49" s="86"/>
      <c r="F49" s="45">
        <f>10251225+563462+824698</f>
        <v>11639385</v>
      </c>
      <c r="G49" s="45">
        <v>824698</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50" x14ac:dyDescent="0.3">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50" x14ac:dyDescent="0.3">
      <c r="A51" s="65" t="s">
        <v>96</v>
      </c>
      <c r="B51" s="66" t="s">
        <v>97</v>
      </c>
      <c r="C51" s="86">
        <f>+C52+C57</f>
        <v>0</v>
      </c>
      <c r="D51" s="86">
        <f t="shared" ref="D51:G51" si="8">+D52+D57</f>
        <v>395000</v>
      </c>
      <c r="E51" s="86">
        <f t="shared" si="8"/>
        <v>0</v>
      </c>
      <c r="F51" s="86">
        <f t="shared" si="8"/>
        <v>367901.42000000004</v>
      </c>
      <c r="G51" s="86">
        <f t="shared" si="8"/>
        <v>33069.269999999997</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50" x14ac:dyDescent="0.3">
      <c r="A52" s="65" t="s">
        <v>98</v>
      </c>
      <c r="B52" s="66" t="s">
        <v>99</v>
      </c>
      <c r="C52" s="86">
        <f>+C53+C55</f>
        <v>0</v>
      </c>
      <c r="D52" s="86">
        <f t="shared" ref="D52:G52" si="9">+D53+D55</f>
        <v>0</v>
      </c>
      <c r="E52" s="86">
        <f t="shared" si="9"/>
        <v>0</v>
      </c>
      <c r="F52" s="86">
        <f t="shared" si="9"/>
        <v>0</v>
      </c>
      <c r="G52" s="86">
        <f t="shared" si="9"/>
        <v>0</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50" x14ac:dyDescent="0.3">
      <c r="A53" s="65" t="s">
        <v>100</v>
      </c>
      <c r="B53" s="66" t="s">
        <v>101</v>
      </c>
      <c r="C53" s="86">
        <f>+C54</f>
        <v>0</v>
      </c>
      <c r="D53" s="86">
        <f t="shared" ref="D53:G53" si="10">+D54</f>
        <v>0</v>
      </c>
      <c r="E53" s="86">
        <f t="shared" si="10"/>
        <v>0</v>
      </c>
      <c r="F53" s="86">
        <f t="shared" si="10"/>
        <v>0</v>
      </c>
      <c r="G53" s="86">
        <f t="shared" si="10"/>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50" x14ac:dyDescent="0.3">
      <c r="A54" s="67" t="s">
        <v>102</v>
      </c>
      <c r="B54" s="68" t="s">
        <v>103</v>
      </c>
      <c r="C54" s="45"/>
      <c r="D54" s="86"/>
      <c r="E54" s="86"/>
      <c r="F54" s="45"/>
      <c r="G54" s="45"/>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50" x14ac:dyDescent="0.3">
      <c r="A55" s="65" t="s">
        <v>104</v>
      </c>
      <c r="B55" s="66" t="s">
        <v>105</v>
      </c>
      <c r="C55" s="86">
        <f>+C56</f>
        <v>0</v>
      </c>
      <c r="D55" s="86">
        <f t="shared" ref="D55:G55" si="11">+D56</f>
        <v>0</v>
      </c>
      <c r="E55" s="86">
        <f t="shared" si="11"/>
        <v>0</v>
      </c>
      <c r="F55" s="86">
        <f t="shared" si="11"/>
        <v>0</v>
      </c>
      <c r="G55" s="86">
        <f t="shared" si="11"/>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50" x14ac:dyDescent="0.3">
      <c r="A56" s="67" t="s">
        <v>106</v>
      </c>
      <c r="B56" s="68" t="s">
        <v>107</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x14ac:dyDescent="0.3">
      <c r="A57" s="65" t="s">
        <v>108</v>
      </c>
      <c r="B57" s="66" t="s">
        <v>109</v>
      </c>
      <c r="C57" s="86">
        <f>+C58+C62</f>
        <v>0</v>
      </c>
      <c r="D57" s="86">
        <f t="shared" ref="D57:G57" si="12">+D58+D62</f>
        <v>395000</v>
      </c>
      <c r="E57" s="86">
        <f t="shared" si="12"/>
        <v>0</v>
      </c>
      <c r="F57" s="86">
        <f t="shared" si="12"/>
        <v>367901.42000000004</v>
      </c>
      <c r="G57" s="86">
        <f t="shared" si="12"/>
        <v>33069.269999999997</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50" x14ac:dyDescent="0.3">
      <c r="A58" s="65" t="s">
        <v>110</v>
      </c>
      <c r="B58" s="66" t="s">
        <v>111</v>
      </c>
      <c r="C58" s="86">
        <f>C61+C59+C60</f>
        <v>0</v>
      </c>
      <c r="D58" s="86">
        <f t="shared" ref="D58:G58" si="13">D61+D59+D60</f>
        <v>395000</v>
      </c>
      <c r="E58" s="86">
        <f t="shared" si="13"/>
        <v>0</v>
      </c>
      <c r="F58" s="86">
        <f t="shared" si="13"/>
        <v>367901.42000000004</v>
      </c>
      <c r="G58" s="86">
        <f t="shared" si="13"/>
        <v>33069.269999999997</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50" x14ac:dyDescent="0.3">
      <c r="A59" s="75" t="s">
        <v>112</v>
      </c>
      <c r="B59" s="66" t="s">
        <v>113</v>
      </c>
      <c r="C59" s="86"/>
      <c r="D59" s="86"/>
      <c r="E59" s="86"/>
      <c r="F59" s="86">
        <v>-739</v>
      </c>
      <c r="G59" s="86"/>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50" x14ac:dyDescent="0.3">
      <c r="A60" s="75" t="s">
        <v>114</v>
      </c>
      <c r="B60" s="66" t="s">
        <v>115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50" x14ac:dyDescent="0.3">
      <c r="A61" s="67" t="s">
        <v>116</v>
      </c>
      <c r="B61" s="76" t="s">
        <v>117</v>
      </c>
      <c r="C61" s="45"/>
      <c r="D61" s="86">
        <v>395000</v>
      </c>
      <c r="E61" s="86"/>
      <c r="F61" s="45">
        <f>314487.45+21083.7+33069.27</f>
        <v>368640.42000000004</v>
      </c>
      <c r="G61" s="45">
        <v>33069.269999999997</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50" ht="19.5" customHeight="1" x14ac:dyDescent="0.3">
      <c r="A62" s="65" t="s">
        <v>118</v>
      </c>
      <c r="B62" s="66" t="s">
        <v>119</v>
      </c>
      <c r="C62" s="86">
        <f>C63</f>
        <v>0</v>
      </c>
      <c r="D62" s="86">
        <f t="shared" ref="D62:G62" si="14">D63</f>
        <v>0</v>
      </c>
      <c r="E62" s="86">
        <f t="shared" si="14"/>
        <v>0</v>
      </c>
      <c r="F62" s="86">
        <f t="shared" si="14"/>
        <v>0</v>
      </c>
      <c r="G62" s="86">
        <f t="shared" si="14"/>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50" x14ac:dyDescent="0.3">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50" x14ac:dyDescent="0.3">
      <c r="A64" s="65" t="s">
        <v>122</v>
      </c>
      <c r="B64" s="66" t="s">
        <v>123</v>
      </c>
      <c r="C64" s="86">
        <f>+C65</f>
        <v>0</v>
      </c>
      <c r="D64" s="86">
        <f t="shared" ref="D64:G64" si="15">+D65</f>
        <v>263647800</v>
      </c>
      <c r="E64" s="86">
        <f t="shared" si="15"/>
        <v>0</v>
      </c>
      <c r="F64" s="86">
        <f t="shared" si="15"/>
        <v>-13</v>
      </c>
      <c r="G64" s="86">
        <f t="shared" si="15"/>
        <v>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x14ac:dyDescent="0.3">
      <c r="A65" s="65" t="s">
        <v>124</v>
      </c>
      <c r="B65" s="66" t="s">
        <v>125</v>
      </c>
      <c r="C65" s="86">
        <f>+C66+C79</f>
        <v>0</v>
      </c>
      <c r="D65" s="86">
        <f t="shared" ref="D65:G65" si="16">+D66+D79</f>
        <v>263647800</v>
      </c>
      <c r="E65" s="86">
        <f t="shared" si="16"/>
        <v>0</v>
      </c>
      <c r="F65" s="86">
        <f t="shared" si="16"/>
        <v>-13</v>
      </c>
      <c r="G65" s="86">
        <f t="shared" si="16"/>
        <v>0</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x14ac:dyDescent="0.3">
      <c r="A66" s="65" t="s">
        <v>126</v>
      </c>
      <c r="B66" s="66" t="s">
        <v>127</v>
      </c>
      <c r="C66" s="86">
        <f>C67+C68+C69+C70+C72+C73+C74+C75+C71+C76+C77+C78</f>
        <v>0</v>
      </c>
      <c r="D66" s="86">
        <f t="shared" ref="D66:G66" si="17">D67+D68+D69+D70+D72+D73+D74+D75+D71+D76+D77+D78</f>
        <v>263647800</v>
      </c>
      <c r="E66" s="86">
        <f t="shared" si="17"/>
        <v>0</v>
      </c>
      <c r="F66" s="86">
        <f t="shared" si="17"/>
        <v>0</v>
      </c>
      <c r="G66" s="86">
        <f t="shared" si="17"/>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x14ac:dyDescent="0.3">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x14ac:dyDescent="0.3">
      <c r="A68" s="67" t="s">
        <v>130</v>
      </c>
      <c r="B68" s="76" t="s">
        <v>131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x14ac:dyDescent="0.3">
      <c r="A69" s="77" t="s">
        <v>132</v>
      </c>
      <c r="B69" s="76" t="s">
        <v>133</v>
      </c>
      <c r="C69" s="45"/>
      <c r="D69" s="86">
        <v>215567170</v>
      </c>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x14ac:dyDescent="0.3">
      <c r="A70" s="67" t="s">
        <v>134</v>
      </c>
      <c r="B70" s="78" t="s">
        <v>135</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x14ac:dyDescent="0.3">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x14ac:dyDescent="0.3">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x14ac:dyDescent="0.3">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x14ac:dyDescent="0.3">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x14ac:dyDescent="0.3">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x14ac:dyDescent="0.3">
      <c r="A76" s="67" t="s">
        <v>146</v>
      </c>
      <c r="B76" s="78" t="s">
        <v>147</v>
      </c>
      <c r="C76" s="45"/>
      <c r="D76" s="86">
        <v>8778630</v>
      </c>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x14ac:dyDescent="0.3">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x14ac:dyDescent="0.3">
      <c r="A78" s="67" t="s">
        <v>150</v>
      </c>
      <c r="B78" s="78" t="s">
        <v>151</v>
      </c>
      <c r="C78" s="45"/>
      <c r="D78" s="86">
        <v>39302000</v>
      </c>
      <c r="E78" s="86"/>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x14ac:dyDescent="0.3">
      <c r="A79" s="65" t="s">
        <v>152</v>
      </c>
      <c r="B79" s="66" t="s">
        <v>153</v>
      </c>
      <c r="C79" s="86">
        <f>+C80+C81+C82+C83+C84+C85+C86+C87</f>
        <v>0</v>
      </c>
      <c r="D79" s="86">
        <f t="shared" ref="D79:G79" si="18">+D80+D81+D82+D83+D84+D85+D86+D87</f>
        <v>0</v>
      </c>
      <c r="E79" s="86">
        <f t="shared" si="18"/>
        <v>0</v>
      </c>
      <c r="F79" s="86">
        <f t="shared" si="18"/>
        <v>-13</v>
      </c>
      <c r="G79" s="86">
        <f t="shared" si="18"/>
        <v>0</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x14ac:dyDescent="0.3">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x14ac:dyDescent="0.3">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x14ac:dyDescent="0.3">
      <c r="A82" s="67" t="s">
        <v>157</v>
      </c>
      <c r="B82" s="68" t="s">
        <v>158</v>
      </c>
      <c r="C82" s="45"/>
      <c r="D82" s="86"/>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x14ac:dyDescent="0.3">
      <c r="A83" s="67" t="s">
        <v>159</v>
      </c>
      <c r="B83" s="68" t="s">
        <v>160</v>
      </c>
      <c r="C83" s="45"/>
      <c r="D83" s="86"/>
      <c r="E83" s="86"/>
      <c r="F83" s="45">
        <v>-51</v>
      </c>
      <c r="G83" s="4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x14ac:dyDescent="0.3">
      <c r="A84" s="67" t="s">
        <v>161</v>
      </c>
      <c r="B84" s="68" t="s">
        <v>139</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39" ht="30" x14ac:dyDescent="0.3">
      <c r="A85" s="71" t="s">
        <v>162</v>
      </c>
      <c r="B85" s="80" t="s">
        <v>163</v>
      </c>
      <c r="C85" s="45"/>
      <c r="D85" s="86"/>
      <c r="E85" s="86"/>
      <c r="F85" s="45"/>
      <c r="G85" s="45"/>
      <c r="T85" s="6"/>
      <c r="AT85" s="6"/>
      <c r="AU85" s="6"/>
      <c r="AV85" s="6"/>
      <c r="BN85" s="6"/>
    </row>
    <row r="86" spans="1:139" ht="75" x14ac:dyDescent="0.3">
      <c r="A86" s="81" t="s">
        <v>164</v>
      </c>
      <c r="B86" s="82" t="s">
        <v>165</v>
      </c>
      <c r="C86" s="45"/>
      <c r="D86" s="86"/>
      <c r="E86" s="86"/>
      <c r="F86" s="45">
        <v>38</v>
      </c>
      <c r="G86" s="45"/>
      <c r="AT86" s="6"/>
      <c r="AU86" s="6"/>
      <c r="AV86" s="6"/>
      <c r="BN86" s="6"/>
    </row>
    <row r="87" spans="1:139" ht="45" x14ac:dyDescent="0.3">
      <c r="A87" s="81" t="s">
        <v>166</v>
      </c>
      <c r="B87" s="83" t="s">
        <v>167</v>
      </c>
      <c r="C87" s="45"/>
      <c r="D87" s="86"/>
      <c r="E87" s="86"/>
      <c r="F87" s="45"/>
      <c r="G87" s="45"/>
      <c r="AT87" s="6"/>
      <c r="AU87" s="6"/>
      <c r="AV87" s="6"/>
      <c r="BN87" s="6"/>
    </row>
    <row r="88" spans="1:139" ht="45" x14ac:dyDescent="0.3">
      <c r="A88" s="81" t="s">
        <v>168</v>
      </c>
      <c r="B88" s="84" t="s">
        <v>169</v>
      </c>
      <c r="C88" s="86">
        <f>C89</f>
        <v>0</v>
      </c>
      <c r="D88" s="86">
        <f t="shared" ref="D88:G89" si="19">D89</f>
        <v>0</v>
      </c>
      <c r="E88" s="86">
        <f t="shared" si="19"/>
        <v>0</v>
      </c>
      <c r="F88" s="86">
        <f t="shared" si="19"/>
        <v>0</v>
      </c>
      <c r="G88" s="86">
        <f t="shared" si="19"/>
        <v>0</v>
      </c>
      <c r="AT88" s="6"/>
      <c r="AU88" s="6"/>
      <c r="AV88" s="6"/>
      <c r="BN88" s="6"/>
    </row>
    <row r="89" spans="1:139" x14ac:dyDescent="0.3">
      <c r="A89" s="81" t="s">
        <v>170</v>
      </c>
      <c r="B89" s="83" t="s">
        <v>171</v>
      </c>
      <c r="C89" s="86">
        <f>C90</f>
        <v>0</v>
      </c>
      <c r="D89" s="86">
        <f t="shared" si="19"/>
        <v>0</v>
      </c>
      <c r="E89" s="86">
        <f t="shared" si="19"/>
        <v>0</v>
      </c>
      <c r="F89" s="86">
        <f t="shared" si="19"/>
        <v>0</v>
      </c>
      <c r="G89" s="86">
        <f t="shared" si="19"/>
        <v>0</v>
      </c>
      <c r="AT89" s="6"/>
      <c r="AU89" s="6"/>
      <c r="AV89" s="6"/>
      <c r="BN89" s="6"/>
    </row>
    <row r="90" spans="1:139" x14ac:dyDescent="0.3">
      <c r="A90" s="81" t="s">
        <v>172</v>
      </c>
      <c r="B90" s="83" t="s">
        <v>173</v>
      </c>
      <c r="C90" s="86"/>
      <c r="D90" s="86"/>
      <c r="E90" s="86"/>
      <c r="F90" s="45"/>
      <c r="G90" s="45"/>
      <c r="AT90" s="6"/>
      <c r="AU90" s="6"/>
      <c r="AV90" s="6"/>
      <c r="BN90" s="6"/>
    </row>
    <row r="91" spans="1:139" ht="45" x14ac:dyDescent="0.3">
      <c r="A91" s="81" t="s">
        <v>472</v>
      </c>
      <c r="B91" s="84" t="s">
        <v>169</v>
      </c>
      <c r="C91" s="86">
        <f>C92+C95</f>
        <v>0</v>
      </c>
      <c r="D91" s="86">
        <f t="shared" ref="D91:G91" si="20">D92+D95</f>
        <v>0</v>
      </c>
      <c r="E91" s="86">
        <f t="shared" si="20"/>
        <v>0</v>
      </c>
      <c r="F91" s="86">
        <f t="shared" si="20"/>
        <v>0</v>
      </c>
      <c r="G91" s="86">
        <f t="shared" si="20"/>
        <v>0</v>
      </c>
      <c r="BN91" s="6"/>
    </row>
    <row r="92" spans="1:139" x14ac:dyDescent="0.3">
      <c r="A92" s="81" t="s">
        <v>473</v>
      </c>
      <c r="B92" s="83" t="s">
        <v>171</v>
      </c>
      <c r="C92" s="86">
        <f>C93+C94</f>
        <v>0</v>
      </c>
      <c r="D92" s="86">
        <f t="shared" ref="D92:G92" si="21">D93</f>
        <v>0</v>
      </c>
      <c r="E92" s="86">
        <f t="shared" si="21"/>
        <v>0</v>
      </c>
      <c r="F92" s="86">
        <f t="shared" si="21"/>
        <v>0</v>
      </c>
      <c r="G92" s="86">
        <f t="shared" si="21"/>
        <v>0</v>
      </c>
      <c r="BN92" s="6"/>
    </row>
    <row r="93" spans="1:139" x14ac:dyDescent="0.3">
      <c r="A93" s="81" t="s">
        <v>474</v>
      </c>
      <c r="B93" s="83" t="s">
        <v>467</v>
      </c>
      <c r="C93" s="86"/>
      <c r="D93" s="86"/>
      <c r="E93" s="86"/>
      <c r="F93" s="45"/>
      <c r="G93" s="45"/>
      <c r="BN93" s="6"/>
    </row>
    <row r="94" spans="1:139" x14ac:dyDescent="0.3">
      <c r="A94" s="81" t="s">
        <v>500</v>
      </c>
      <c r="B94" s="83" t="s">
        <v>499</v>
      </c>
      <c r="C94" s="86"/>
      <c r="D94" s="86"/>
      <c r="E94" s="86"/>
      <c r="F94" s="45"/>
      <c r="G94" s="45"/>
      <c r="BN94" s="6"/>
    </row>
    <row r="95" spans="1:139" ht="30" x14ac:dyDescent="0.3">
      <c r="A95" s="81" t="s">
        <v>503</v>
      </c>
      <c r="B95" s="84" t="s">
        <v>502</v>
      </c>
      <c r="C95" s="86">
        <f>C96+C97</f>
        <v>0</v>
      </c>
      <c r="D95" s="86">
        <f t="shared" ref="D95:G95" si="22">D96+D97</f>
        <v>0</v>
      </c>
      <c r="E95" s="86">
        <f t="shared" si="22"/>
        <v>0</v>
      </c>
      <c r="F95" s="86">
        <f t="shared" si="22"/>
        <v>0</v>
      </c>
      <c r="G95" s="86">
        <f t="shared" si="22"/>
        <v>0</v>
      </c>
      <c r="BN95" s="6"/>
    </row>
    <row r="96" spans="1:139" x14ac:dyDescent="0.3">
      <c r="A96" s="81" t="s">
        <v>504</v>
      </c>
      <c r="B96" s="83" t="s">
        <v>467</v>
      </c>
      <c r="C96" s="86"/>
      <c r="D96" s="86"/>
      <c r="E96" s="86"/>
      <c r="F96" s="45"/>
      <c r="G96" s="45"/>
      <c r="BN96" s="6"/>
    </row>
    <row r="97" spans="1:174" x14ac:dyDescent="0.3">
      <c r="A97" s="81" t="s">
        <v>505</v>
      </c>
      <c r="B97" s="83" t="s">
        <v>499</v>
      </c>
      <c r="C97" s="86"/>
      <c r="D97" s="86"/>
      <c r="E97" s="86"/>
      <c r="F97" s="45"/>
      <c r="G97" s="45"/>
      <c r="BN97" s="6"/>
    </row>
    <row r="98" spans="1:174" ht="30" x14ac:dyDescent="0.3">
      <c r="A98" s="84" t="s">
        <v>475</v>
      </c>
      <c r="B98" s="84" t="s">
        <v>174</v>
      </c>
      <c r="C98" s="86">
        <f>C99+C101</f>
        <v>0</v>
      </c>
      <c r="D98" s="86">
        <f t="shared" ref="D98:G98" si="23">D99+D101</f>
        <v>0</v>
      </c>
      <c r="E98" s="86">
        <f t="shared" si="23"/>
        <v>0</v>
      </c>
      <c r="F98" s="86">
        <f t="shared" si="23"/>
        <v>0</v>
      </c>
      <c r="G98" s="86">
        <f t="shared" si="23"/>
        <v>0</v>
      </c>
      <c r="BN98" s="6"/>
    </row>
    <row r="99" spans="1:174" ht="45" x14ac:dyDescent="0.3">
      <c r="A99" s="84" t="s">
        <v>175</v>
      </c>
      <c r="B99" s="84" t="s">
        <v>169</v>
      </c>
      <c r="C99" s="86">
        <f>C100</f>
        <v>0</v>
      </c>
      <c r="D99" s="86">
        <f t="shared" ref="D99:G99" si="24">D100</f>
        <v>0</v>
      </c>
      <c r="E99" s="86">
        <f t="shared" si="24"/>
        <v>0</v>
      </c>
      <c r="F99" s="86">
        <f t="shared" si="24"/>
        <v>0</v>
      </c>
      <c r="G99" s="86">
        <f t="shared" si="24"/>
        <v>0</v>
      </c>
      <c r="BN99" s="6"/>
    </row>
    <row r="100" spans="1:174" s="56" customFormat="1" ht="30" x14ac:dyDescent="0.3">
      <c r="A100" s="83" t="s">
        <v>176</v>
      </c>
      <c r="B100" s="83" t="s">
        <v>177</v>
      </c>
      <c r="C100" s="86"/>
      <c r="D100" s="86"/>
      <c r="E100" s="86"/>
      <c r="F100" s="86"/>
      <c r="G100" s="86"/>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x14ac:dyDescent="0.3">
      <c r="A101" s="83"/>
      <c r="B101" s="83" t="s">
        <v>468</v>
      </c>
      <c r="C101" s="86">
        <f>C102</f>
        <v>0</v>
      </c>
      <c r="D101" s="86">
        <f t="shared" ref="D101:G103" si="25">D102</f>
        <v>0</v>
      </c>
      <c r="E101" s="86">
        <f t="shared" si="25"/>
        <v>0</v>
      </c>
      <c r="F101" s="86">
        <f t="shared" si="25"/>
        <v>0</v>
      </c>
      <c r="G101" s="86">
        <f t="shared" si="25"/>
        <v>0</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x14ac:dyDescent="0.3">
      <c r="A102" s="83" t="s">
        <v>476</v>
      </c>
      <c r="B102" s="83" t="s">
        <v>469</v>
      </c>
      <c r="C102" s="86">
        <f>C103</f>
        <v>0</v>
      </c>
      <c r="D102" s="86">
        <f t="shared" si="25"/>
        <v>0</v>
      </c>
      <c r="E102" s="86">
        <f t="shared" si="25"/>
        <v>0</v>
      </c>
      <c r="F102" s="86">
        <f t="shared" si="25"/>
        <v>0</v>
      </c>
      <c r="G102" s="86">
        <f t="shared" si="25"/>
        <v>0</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ht="30" x14ac:dyDescent="0.3">
      <c r="A103" s="83" t="s">
        <v>477</v>
      </c>
      <c r="B103" s="83" t="s">
        <v>470</v>
      </c>
      <c r="C103" s="86">
        <f>C104</f>
        <v>0</v>
      </c>
      <c r="D103" s="86">
        <f t="shared" si="25"/>
        <v>0</v>
      </c>
      <c r="E103" s="86">
        <f t="shared" si="25"/>
        <v>0</v>
      </c>
      <c r="F103" s="86">
        <f t="shared" si="25"/>
        <v>0</v>
      </c>
      <c r="G103" s="86">
        <f t="shared" si="25"/>
        <v>0</v>
      </c>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x14ac:dyDescent="0.3">
      <c r="A104" s="83" t="s">
        <v>478</v>
      </c>
      <c r="B104" s="83" t="s">
        <v>471</v>
      </c>
      <c r="C104" s="45"/>
      <c r="D104" s="86"/>
      <c r="E104" s="86"/>
      <c r="F104" s="45"/>
      <c r="G104" s="4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x14ac:dyDescent="0.3">
      <c r="A105" s="84" t="s">
        <v>178</v>
      </c>
      <c r="B105" s="84" t="s">
        <v>179</v>
      </c>
      <c r="C105" s="86">
        <f>C106</f>
        <v>0</v>
      </c>
      <c r="D105" s="86">
        <f t="shared" ref="D105:G105" si="26">D106</f>
        <v>0</v>
      </c>
      <c r="E105" s="86">
        <f t="shared" si="26"/>
        <v>0</v>
      </c>
      <c r="F105" s="86">
        <f t="shared" si="26"/>
        <v>1724288</v>
      </c>
      <c r="G105" s="86">
        <f t="shared" si="26"/>
        <v>2125383</v>
      </c>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ht="30" x14ac:dyDescent="0.3">
      <c r="A106" s="83" t="s">
        <v>180</v>
      </c>
      <c r="B106" s="83" t="s">
        <v>181</v>
      </c>
      <c r="C106" s="45"/>
      <c r="D106" s="86"/>
      <c r="E106" s="86"/>
      <c r="F106" s="45">
        <f>-567325+166230+2125383</f>
        <v>1724288</v>
      </c>
      <c r="G106" s="45">
        <v>2125383</v>
      </c>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row r="107" spans="1:174" s="56" customFormat="1" x14ac:dyDescent="0.3">
      <c r="A107" s="53"/>
      <c r="B107" s="5"/>
      <c r="C107" s="5"/>
      <c r="D107" s="46"/>
      <c r="E107" s="46"/>
      <c r="F107" s="5"/>
      <c r="G107" s="5"/>
      <c r="BN107" s="6"/>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row>
    <row r="108" spans="1:174" s="56" customFormat="1" x14ac:dyDescent="0.3">
      <c r="A108" s="53"/>
      <c r="B108" s="5" t="s">
        <v>509</v>
      </c>
      <c r="C108" s="5"/>
      <c r="D108" s="46" t="s">
        <v>512</v>
      </c>
      <c r="E108" s="46"/>
      <c r="F108" s="5"/>
      <c r="G108" s="5"/>
      <c r="BN108" s="6"/>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row>
    <row r="109" spans="1:174" s="56" customFormat="1" x14ac:dyDescent="0.3">
      <c r="A109" s="53"/>
      <c r="B109" s="5" t="s">
        <v>510</v>
      </c>
      <c r="C109" s="5"/>
      <c r="D109" s="46" t="s">
        <v>511</v>
      </c>
      <c r="E109" s="46"/>
      <c r="F109" s="5"/>
      <c r="G109" s="5"/>
      <c r="BN109" s="6"/>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row>
  </sheetData>
  <protectedRanges>
    <protectedRange sqref="C85:C86 C69:C81 C61 F85:G87 C29:C50 C54:C55 F69:G78 F80:G81 C17:C26 F61:G61 F29:G50 F17:G22 F24:G26 F54:G54 F90:G90 D23:G23 D55:G55 C57:G57 C64:G65 D79:G79 F93:G94 F96:G97" name="Zonă1" securityDescriptor="O:WDG:WDD:(A;;CC;;;AN)(A;;CC;;;AU)(A;;CC;;;WD)"/>
    <protectedRange sqref="B2" name="Zonă1_1" securityDescriptor="O:WDG:WDD:(A;;CC;;;WD)"/>
  </protectedRanges>
  <mergeCells count="26">
    <mergeCell ref="DX4:EB4"/>
    <mergeCell ref="EC4:EG4"/>
    <mergeCell ref="CT4:CX4"/>
    <mergeCell ref="CY4:DC4"/>
    <mergeCell ref="DD4:DH4"/>
    <mergeCell ref="DI4:DM4"/>
    <mergeCell ref="DN4:DR4"/>
    <mergeCell ref="DS4:DW4"/>
    <mergeCell ref="CO4:CS4"/>
    <mergeCell ref="AL4:AP4"/>
    <mergeCell ref="AQ4:AU4"/>
    <mergeCell ref="AV4:AZ4"/>
    <mergeCell ref="BA4:BE4"/>
    <mergeCell ref="BF4:BJ4"/>
    <mergeCell ref="BK4:BO4"/>
    <mergeCell ref="BP4:BT4"/>
    <mergeCell ref="BU4:BY4"/>
    <mergeCell ref="BZ4:CD4"/>
    <mergeCell ref="CE4:CI4"/>
    <mergeCell ref="CJ4:CN4"/>
    <mergeCell ref="AG4:AK4"/>
    <mergeCell ref="H4:L4"/>
    <mergeCell ref="M4:Q4"/>
    <mergeCell ref="R4:V4"/>
    <mergeCell ref="W4:AA4"/>
    <mergeCell ref="AB4:AF4"/>
  </mergeCells>
  <pageMargins left="0.75" right="0.75" top="1" bottom="1" header="0.5" footer="0.5"/>
  <pageSetup scale="52" orientation="portrait" r:id="rId1"/>
  <headerFooter alignWithMargins="0"/>
  <colBreaks count="1" manualBreakCount="1">
    <brk id="12" max="10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H231"/>
  <sheetViews>
    <sheetView zoomScale="90" zoomScaleNormal="90" workbookViewId="0">
      <pane xSplit="3" ySplit="6" topLeftCell="D7" activePane="bottomRight" state="frozen"/>
      <selection activeCell="G7" sqref="G7:H209"/>
      <selection pane="topRight" activeCell="G7" sqref="G7:H209"/>
      <selection pane="bottomLeft" activeCell="G7" sqref="G7:H209"/>
      <selection pane="bottomRight" activeCell="G7" sqref="G7"/>
    </sheetView>
  </sheetViews>
  <sheetFormatPr defaultRowHeight="15" x14ac:dyDescent="0.3"/>
  <cols>
    <col min="1" max="1" width="14.28515625" style="1" customWidth="1"/>
    <col min="2" max="2" width="71.28515625" style="4" customWidth="1"/>
    <col min="3" max="3" width="7.85546875" style="4" customWidth="1"/>
    <col min="4" max="4" width="17.140625" style="4" customWidth="1"/>
    <col min="5" max="5" width="18" style="4" customWidth="1"/>
    <col min="6" max="6" width="15.7109375" style="4" hidden="1" customWidth="1"/>
    <col min="7" max="7" width="15.42578125" style="4" bestFit="1" customWidth="1"/>
    <col min="8" max="8" width="14.5703125" style="4" bestFit="1" customWidth="1"/>
    <col min="9" max="16384" width="9.140625" style="5"/>
  </cols>
  <sheetData>
    <row r="1" spans="1:8" ht="17.25" x14ac:dyDescent="0.3">
      <c r="B1" s="2" t="s">
        <v>514</v>
      </c>
      <c r="C1" s="3"/>
    </row>
    <row r="2" spans="1:8" x14ac:dyDescent="0.3">
      <c r="B2" s="3" t="s">
        <v>508</v>
      </c>
      <c r="C2" s="3"/>
    </row>
    <row r="3" spans="1:8" x14ac:dyDescent="0.3">
      <c r="B3" s="3"/>
      <c r="C3" s="3"/>
      <c r="D3" s="6"/>
    </row>
    <row r="4" spans="1:8" x14ac:dyDescent="0.3">
      <c r="D4" s="7"/>
      <c r="E4" s="7"/>
      <c r="F4" s="8"/>
      <c r="G4" s="9"/>
      <c r="H4" s="98" t="s">
        <v>466</v>
      </c>
    </row>
    <row r="5" spans="1:8" s="13" customFormat="1" ht="60" x14ac:dyDescent="0.2">
      <c r="A5" s="10" t="s">
        <v>1</v>
      </c>
      <c r="B5" s="11" t="s">
        <v>2</v>
      </c>
      <c r="C5" s="11"/>
      <c r="D5" s="11" t="s">
        <v>182</v>
      </c>
      <c r="E5" s="12" t="s">
        <v>183</v>
      </c>
      <c r="F5" s="12" t="s">
        <v>184</v>
      </c>
      <c r="G5" s="11" t="s">
        <v>185</v>
      </c>
      <c r="H5" s="11" t="s">
        <v>186</v>
      </c>
    </row>
    <row r="6" spans="1:8" x14ac:dyDescent="0.3">
      <c r="A6" s="14"/>
      <c r="B6" s="15" t="s">
        <v>187</v>
      </c>
      <c r="C6" s="15"/>
      <c r="D6" s="16"/>
      <c r="E6" s="16"/>
      <c r="F6" s="16"/>
      <c r="G6" s="16"/>
      <c r="H6" s="16"/>
    </row>
    <row r="7" spans="1:8" s="19" customFormat="1" ht="16.5" customHeight="1" x14ac:dyDescent="0.3">
      <c r="A7" s="17" t="s">
        <v>200</v>
      </c>
      <c r="B7" s="18" t="s">
        <v>188</v>
      </c>
      <c r="C7" s="87">
        <f t="shared" ref="C7" si="0">+C8+C16</f>
        <v>0</v>
      </c>
      <c r="D7" s="87">
        <f t="shared" ref="D7:H7" si="1">+D8+D16</f>
        <v>996042500</v>
      </c>
      <c r="E7" s="87">
        <f t="shared" si="1"/>
        <v>995066110</v>
      </c>
      <c r="F7" s="87">
        <f t="shared" si="1"/>
        <v>20</v>
      </c>
      <c r="G7" s="87">
        <f t="shared" si="1"/>
        <v>994432956.29000008</v>
      </c>
      <c r="H7" s="87">
        <f t="shared" si="1"/>
        <v>83088902.999999985</v>
      </c>
    </row>
    <row r="8" spans="1:8" s="19" customFormat="1" x14ac:dyDescent="0.3">
      <c r="A8" s="17" t="s">
        <v>202</v>
      </c>
      <c r="B8" s="20" t="s">
        <v>189</v>
      </c>
      <c r="C8" s="88">
        <f t="shared" ref="C8" si="2">+C9+C10+C13+C11+C12+C15+C185+C14</f>
        <v>0</v>
      </c>
      <c r="D8" s="88">
        <f t="shared" ref="D8:H8" si="3">+D9+D10+D13+D11+D12+D15+D185+D14</f>
        <v>995985500</v>
      </c>
      <c r="E8" s="88">
        <f t="shared" si="3"/>
        <v>995009110</v>
      </c>
      <c r="F8" s="88">
        <f t="shared" si="3"/>
        <v>20</v>
      </c>
      <c r="G8" s="88">
        <f t="shared" si="3"/>
        <v>994375970.29000008</v>
      </c>
      <c r="H8" s="88">
        <f t="shared" si="3"/>
        <v>83078902.999999985</v>
      </c>
    </row>
    <row r="9" spans="1:8" s="19" customFormat="1" x14ac:dyDescent="0.3">
      <c r="A9" s="17" t="s">
        <v>204</v>
      </c>
      <c r="B9" s="20" t="s">
        <v>190</v>
      </c>
      <c r="C9" s="88">
        <f t="shared" ref="C9" si="4">+C23</f>
        <v>0</v>
      </c>
      <c r="D9" s="88">
        <f t="shared" ref="D9:H9" si="5">+D23</f>
        <v>5804830</v>
      </c>
      <c r="E9" s="88">
        <f t="shared" si="5"/>
        <v>5804830</v>
      </c>
      <c r="F9" s="88">
        <f t="shared" si="5"/>
        <v>20</v>
      </c>
      <c r="G9" s="88">
        <f t="shared" si="5"/>
        <v>5798320</v>
      </c>
      <c r="H9" s="88">
        <f t="shared" si="5"/>
        <v>558069</v>
      </c>
    </row>
    <row r="10" spans="1:8" s="19" customFormat="1" ht="16.5" customHeight="1" x14ac:dyDescent="0.3">
      <c r="A10" s="17" t="s">
        <v>205</v>
      </c>
      <c r="B10" s="20" t="s">
        <v>191</v>
      </c>
      <c r="C10" s="88">
        <f t="shared" ref="C10" si="6">+C44</f>
        <v>0</v>
      </c>
      <c r="D10" s="88">
        <f t="shared" ref="D10:H10" si="7">+D44</f>
        <v>621353170</v>
      </c>
      <c r="E10" s="88">
        <f t="shared" si="7"/>
        <v>620376780</v>
      </c>
      <c r="F10" s="88">
        <f t="shared" si="7"/>
        <v>0</v>
      </c>
      <c r="G10" s="88">
        <f t="shared" si="7"/>
        <v>620300938.6400001</v>
      </c>
      <c r="H10" s="88">
        <f t="shared" si="7"/>
        <v>55572051.539999999</v>
      </c>
    </row>
    <row r="11" spans="1:8" s="19" customFormat="1" x14ac:dyDescent="0.3">
      <c r="A11" s="17" t="s">
        <v>207</v>
      </c>
      <c r="B11" s="20" t="s">
        <v>192</v>
      </c>
      <c r="C11" s="88">
        <f t="shared" ref="C11" si="8">+C72</f>
        <v>0</v>
      </c>
      <c r="D11" s="88">
        <f t="shared" ref="D11:H11" si="9">+D72</f>
        <v>0</v>
      </c>
      <c r="E11" s="88">
        <f t="shared" si="9"/>
        <v>0</v>
      </c>
      <c r="F11" s="88">
        <f t="shared" si="9"/>
        <v>0</v>
      </c>
      <c r="G11" s="88">
        <f t="shared" si="9"/>
        <v>0</v>
      </c>
      <c r="H11" s="88">
        <f t="shared" si="9"/>
        <v>0</v>
      </c>
    </row>
    <row r="12" spans="1:8" s="19" customFormat="1" ht="30" x14ac:dyDescent="0.3">
      <c r="A12" s="17" t="s">
        <v>208</v>
      </c>
      <c r="B12" s="20" t="s">
        <v>193</v>
      </c>
      <c r="C12" s="88">
        <f t="shared" ref="C12" si="10">C186</f>
        <v>0</v>
      </c>
      <c r="D12" s="88">
        <f t="shared" ref="D12:H12" si="11">D186</f>
        <v>312682950</v>
      </c>
      <c r="E12" s="88">
        <f t="shared" si="11"/>
        <v>312682950</v>
      </c>
      <c r="F12" s="88">
        <f t="shared" si="11"/>
        <v>0</v>
      </c>
      <c r="G12" s="88">
        <f t="shared" si="11"/>
        <v>312682916</v>
      </c>
      <c r="H12" s="88">
        <f t="shared" si="11"/>
        <v>25034336</v>
      </c>
    </row>
    <row r="13" spans="1:8" s="19" customFormat="1" ht="16.5" customHeight="1" x14ac:dyDescent="0.3">
      <c r="A13" s="17" t="s">
        <v>209</v>
      </c>
      <c r="B13" s="20" t="s">
        <v>194</v>
      </c>
      <c r="C13" s="88">
        <f t="shared" ref="C13" si="12">C203</f>
        <v>0</v>
      </c>
      <c r="D13" s="88">
        <f t="shared" ref="D13:H13" si="13">D203</f>
        <v>56142030</v>
      </c>
      <c r="E13" s="88">
        <f t="shared" si="13"/>
        <v>56142030</v>
      </c>
      <c r="F13" s="88">
        <f t="shared" si="13"/>
        <v>0</v>
      </c>
      <c r="G13" s="88">
        <f t="shared" si="13"/>
        <v>56135797</v>
      </c>
      <c r="H13" s="88">
        <f t="shared" si="13"/>
        <v>2095132</v>
      </c>
    </row>
    <row r="14" spans="1:8" s="19" customFormat="1" ht="30" x14ac:dyDescent="0.3">
      <c r="A14" s="17" t="s">
        <v>211</v>
      </c>
      <c r="B14" s="20" t="s">
        <v>195</v>
      </c>
      <c r="C14" s="88">
        <f t="shared" ref="C14" si="14">C210</f>
        <v>0</v>
      </c>
      <c r="D14" s="88">
        <f t="shared" ref="D14:H14" si="15">D210</f>
        <v>0</v>
      </c>
      <c r="E14" s="88">
        <f t="shared" si="15"/>
        <v>0</v>
      </c>
      <c r="F14" s="88">
        <f t="shared" si="15"/>
        <v>0</v>
      </c>
      <c r="G14" s="88">
        <f t="shared" si="15"/>
        <v>0</v>
      </c>
      <c r="H14" s="88">
        <f t="shared" si="15"/>
        <v>0</v>
      </c>
    </row>
    <row r="15" spans="1:8" s="19" customFormat="1" ht="16.5" customHeight="1" x14ac:dyDescent="0.3">
      <c r="A15" s="17" t="s">
        <v>213</v>
      </c>
      <c r="B15" s="20" t="s">
        <v>197</v>
      </c>
      <c r="C15" s="88">
        <f t="shared" ref="C15" si="16">C75</f>
        <v>0</v>
      </c>
      <c r="D15" s="88">
        <f t="shared" ref="D15:H15" si="17">D75</f>
        <v>2520</v>
      </c>
      <c r="E15" s="88">
        <f t="shared" si="17"/>
        <v>2520</v>
      </c>
      <c r="F15" s="88">
        <f t="shared" si="17"/>
        <v>0</v>
      </c>
      <c r="G15" s="88">
        <f t="shared" si="17"/>
        <v>2097</v>
      </c>
      <c r="H15" s="88">
        <f t="shared" si="17"/>
        <v>276</v>
      </c>
    </row>
    <row r="16" spans="1:8" s="19" customFormat="1" ht="16.5" customHeight="1" x14ac:dyDescent="0.3">
      <c r="A16" s="17" t="s">
        <v>215</v>
      </c>
      <c r="B16" s="20" t="s">
        <v>198</v>
      </c>
      <c r="C16" s="88">
        <f t="shared" ref="C16:C17" si="18">C78</f>
        <v>0</v>
      </c>
      <c r="D16" s="88">
        <f t="shared" ref="D16:H16" si="19">D78</f>
        <v>57000</v>
      </c>
      <c r="E16" s="88">
        <f t="shared" si="19"/>
        <v>57000</v>
      </c>
      <c r="F16" s="88">
        <f t="shared" si="19"/>
        <v>0</v>
      </c>
      <c r="G16" s="88">
        <f t="shared" si="19"/>
        <v>56986</v>
      </c>
      <c r="H16" s="88">
        <f t="shared" si="19"/>
        <v>10000</v>
      </c>
    </row>
    <row r="17" spans="1:8" s="19" customFormat="1" x14ac:dyDescent="0.3">
      <c r="A17" s="17" t="s">
        <v>217</v>
      </c>
      <c r="B17" s="20" t="s">
        <v>199</v>
      </c>
      <c r="C17" s="88">
        <f t="shared" si="18"/>
        <v>0</v>
      </c>
      <c r="D17" s="88">
        <f t="shared" ref="D17:H17" si="20">D79</f>
        <v>57000</v>
      </c>
      <c r="E17" s="88">
        <f t="shared" si="20"/>
        <v>57000</v>
      </c>
      <c r="F17" s="88">
        <f t="shared" si="20"/>
        <v>0</v>
      </c>
      <c r="G17" s="88">
        <f t="shared" si="20"/>
        <v>56986</v>
      </c>
      <c r="H17" s="88">
        <f t="shared" si="20"/>
        <v>10000</v>
      </c>
    </row>
    <row r="18" spans="1:8" s="19" customFormat="1" ht="30" x14ac:dyDescent="0.3">
      <c r="A18" s="17" t="s">
        <v>219</v>
      </c>
      <c r="B18" s="20" t="s">
        <v>201</v>
      </c>
      <c r="C18" s="88">
        <f t="shared" ref="C18" si="21">C185+C209</f>
        <v>0</v>
      </c>
      <c r="D18" s="88">
        <f t="shared" ref="D18:H18" si="22">D185+D209</f>
        <v>0</v>
      </c>
      <c r="E18" s="88">
        <f t="shared" si="22"/>
        <v>0</v>
      </c>
      <c r="F18" s="88">
        <f t="shared" si="22"/>
        <v>0</v>
      </c>
      <c r="G18" s="88">
        <f t="shared" si="22"/>
        <v>-549870.35</v>
      </c>
      <c r="H18" s="88">
        <f t="shared" si="22"/>
        <v>-180961.53999999998</v>
      </c>
    </row>
    <row r="19" spans="1:8" s="19" customFormat="1" ht="16.5" customHeight="1" x14ac:dyDescent="0.3">
      <c r="A19" s="17" t="s">
        <v>221</v>
      </c>
      <c r="B19" s="20" t="s">
        <v>203</v>
      </c>
      <c r="C19" s="88">
        <f t="shared" ref="C19" si="23">+C20+C16</f>
        <v>0</v>
      </c>
      <c r="D19" s="88">
        <f t="shared" ref="D19:H19" si="24">+D20+D16</f>
        <v>996042500</v>
      </c>
      <c r="E19" s="88">
        <f t="shared" si="24"/>
        <v>995066110</v>
      </c>
      <c r="F19" s="88">
        <f t="shared" si="24"/>
        <v>20</v>
      </c>
      <c r="G19" s="88">
        <f t="shared" si="24"/>
        <v>994432956.29000008</v>
      </c>
      <c r="H19" s="88">
        <f t="shared" si="24"/>
        <v>83088902.999999985</v>
      </c>
    </row>
    <row r="20" spans="1:8" s="19" customFormat="1" x14ac:dyDescent="0.3">
      <c r="A20" s="17" t="s">
        <v>223</v>
      </c>
      <c r="B20" s="20" t="s">
        <v>189</v>
      </c>
      <c r="C20" s="88">
        <f t="shared" ref="C20" si="25">C9+C10+C11+C12+C13+C15+C185+C14</f>
        <v>0</v>
      </c>
      <c r="D20" s="88">
        <f t="shared" ref="D20:H20" si="26">D9+D10+D11+D12+D13+D15+D185+D14</f>
        <v>995985500</v>
      </c>
      <c r="E20" s="88">
        <f t="shared" si="26"/>
        <v>995009110</v>
      </c>
      <c r="F20" s="88">
        <f t="shared" si="26"/>
        <v>20</v>
      </c>
      <c r="G20" s="88">
        <f t="shared" si="26"/>
        <v>994375970.29000008</v>
      </c>
      <c r="H20" s="88">
        <f t="shared" si="26"/>
        <v>83078902.999999985</v>
      </c>
    </row>
    <row r="21" spans="1:8" s="19" customFormat="1" ht="16.5" customHeight="1" x14ac:dyDescent="0.3">
      <c r="A21" s="21" t="s">
        <v>225</v>
      </c>
      <c r="B21" s="20" t="s">
        <v>206</v>
      </c>
      <c r="C21" s="88">
        <f t="shared" ref="C21" si="27">+C22+C78+C185</f>
        <v>0</v>
      </c>
      <c r="D21" s="88">
        <f t="shared" ref="D21:H21" si="28">+D22+D78+D185</f>
        <v>939900470</v>
      </c>
      <c r="E21" s="88">
        <f t="shared" si="28"/>
        <v>938924080</v>
      </c>
      <c r="F21" s="88">
        <f t="shared" si="28"/>
        <v>20</v>
      </c>
      <c r="G21" s="88">
        <f t="shared" si="28"/>
        <v>938297159.29000008</v>
      </c>
      <c r="H21" s="88">
        <f t="shared" si="28"/>
        <v>80993770.999999985</v>
      </c>
    </row>
    <row r="22" spans="1:8" s="19" customFormat="1" ht="16.5" customHeight="1" x14ac:dyDescent="0.3">
      <c r="A22" s="17" t="s">
        <v>227</v>
      </c>
      <c r="B22" s="20" t="s">
        <v>189</v>
      </c>
      <c r="C22" s="88">
        <f t="shared" ref="C22" si="29">+C23+C44+C72+C186+C75+C210</f>
        <v>0</v>
      </c>
      <c r="D22" s="88">
        <f t="shared" ref="D22:H22" si="30">+D23+D44+D72+D186+D75+D210</f>
        <v>939843470</v>
      </c>
      <c r="E22" s="88">
        <f t="shared" si="30"/>
        <v>938867080</v>
      </c>
      <c r="F22" s="88">
        <f t="shared" si="30"/>
        <v>20</v>
      </c>
      <c r="G22" s="88">
        <f t="shared" si="30"/>
        <v>938784271.6400001</v>
      </c>
      <c r="H22" s="88">
        <f t="shared" si="30"/>
        <v>81164732.539999992</v>
      </c>
    </row>
    <row r="23" spans="1:8" s="19" customFormat="1" x14ac:dyDescent="0.3">
      <c r="A23" s="17" t="s">
        <v>229</v>
      </c>
      <c r="B23" s="20" t="s">
        <v>190</v>
      </c>
      <c r="C23" s="88">
        <f t="shared" ref="C23" si="31">+C24+C36+C34</f>
        <v>0</v>
      </c>
      <c r="D23" s="88">
        <f t="shared" ref="D23:H23" si="32">+D24+D36+D34</f>
        <v>5804830</v>
      </c>
      <c r="E23" s="88">
        <f t="shared" si="32"/>
        <v>5804830</v>
      </c>
      <c r="F23" s="88">
        <f t="shared" si="32"/>
        <v>20</v>
      </c>
      <c r="G23" s="88">
        <f t="shared" si="32"/>
        <v>5798320</v>
      </c>
      <c r="H23" s="88">
        <f t="shared" si="32"/>
        <v>558069</v>
      </c>
    </row>
    <row r="24" spans="1:8" s="19" customFormat="1" ht="16.5" customHeight="1" x14ac:dyDescent="0.3">
      <c r="A24" s="17" t="s">
        <v>231</v>
      </c>
      <c r="B24" s="20" t="s">
        <v>210</v>
      </c>
      <c r="C24" s="88">
        <f t="shared" ref="C24" si="33">C25+C28+C29+C30+C32+C26+C27+C31</f>
        <v>0</v>
      </c>
      <c r="D24" s="88">
        <f t="shared" ref="D24:H24" si="34">D25+D28+D29+D30+D32+D26+D27+D31</f>
        <v>5678570</v>
      </c>
      <c r="E24" s="88">
        <f t="shared" si="34"/>
        <v>5678570</v>
      </c>
      <c r="F24" s="88">
        <f t="shared" si="34"/>
        <v>0</v>
      </c>
      <c r="G24" s="88">
        <f t="shared" si="34"/>
        <v>5672201</v>
      </c>
      <c r="H24" s="88">
        <f t="shared" si="34"/>
        <v>547675</v>
      </c>
    </row>
    <row r="25" spans="1:8" s="19" customFormat="1" ht="16.5" customHeight="1" x14ac:dyDescent="0.3">
      <c r="A25" s="22" t="s">
        <v>233</v>
      </c>
      <c r="B25" s="23" t="s">
        <v>212</v>
      </c>
      <c r="C25" s="89"/>
      <c r="D25" s="90">
        <v>4681990</v>
      </c>
      <c r="E25" s="90">
        <v>4681990</v>
      </c>
      <c r="F25" s="90"/>
      <c r="G25" s="45">
        <f>4229133+452329</f>
        <v>4681462</v>
      </c>
      <c r="H25" s="45">
        <v>452329</v>
      </c>
    </row>
    <row r="26" spans="1:8" s="19" customFormat="1" x14ac:dyDescent="0.3">
      <c r="A26" s="22" t="s">
        <v>235</v>
      </c>
      <c r="B26" s="23" t="s">
        <v>214</v>
      </c>
      <c r="C26" s="89"/>
      <c r="D26" s="90">
        <v>591100</v>
      </c>
      <c r="E26" s="90">
        <v>591100</v>
      </c>
      <c r="F26" s="90"/>
      <c r="G26" s="45">
        <f>538108+50898</f>
        <v>589006</v>
      </c>
      <c r="H26" s="45">
        <v>50898</v>
      </c>
    </row>
    <row r="27" spans="1:8" s="19" customFormat="1" x14ac:dyDescent="0.3">
      <c r="A27" s="22" t="s">
        <v>237</v>
      </c>
      <c r="B27" s="23" t="s">
        <v>216</v>
      </c>
      <c r="C27" s="89"/>
      <c r="D27" s="90">
        <v>25900</v>
      </c>
      <c r="E27" s="90">
        <v>25900</v>
      </c>
      <c r="F27" s="90"/>
      <c r="G27" s="45">
        <f>23398+2362</f>
        <v>25760</v>
      </c>
      <c r="H27" s="45">
        <v>2362</v>
      </c>
    </row>
    <row r="28" spans="1:8" s="19" customFormat="1" ht="16.5" customHeight="1" x14ac:dyDescent="0.3">
      <c r="A28" s="22" t="s">
        <v>239</v>
      </c>
      <c r="B28" s="24" t="s">
        <v>218</v>
      </c>
      <c r="C28" s="89"/>
      <c r="D28" s="90">
        <v>11990</v>
      </c>
      <c r="E28" s="90">
        <v>11990</v>
      </c>
      <c r="F28" s="90"/>
      <c r="G28" s="45">
        <f>10656+740</f>
        <v>11396</v>
      </c>
      <c r="H28" s="45">
        <v>740</v>
      </c>
    </row>
    <row r="29" spans="1:8" s="19" customFormat="1" ht="16.5" customHeight="1" x14ac:dyDescent="0.3">
      <c r="A29" s="22" t="s">
        <v>241</v>
      </c>
      <c r="B29" s="24" t="s">
        <v>220</v>
      </c>
      <c r="C29" s="89"/>
      <c r="D29" s="90">
        <v>2330</v>
      </c>
      <c r="E29" s="90">
        <v>2330</v>
      </c>
      <c r="F29" s="90"/>
      <c r="G29" s="45">
        <v>2330</v>
      </c>
      <c r="H29" s="45">
        <v>1000</v>
      </c>
    </row>
    <row r="30" spans="1:8" ht="16.5" customHeight="1" x14ac:dyDescent="0.3">
      <c r="A30" s="22" t="s">
        <v>243</v>
      </c>
      <c r="B30" s="24" t="s">
        <v>222</v>
      </c>
      <c r="C30" s="89"/>
      <c r="D30" s="90"/>
      <c r="E30" s="90"/>
      <c r="F30" s="90"/>
      <c r="G30" s="45"/>
      <c r="H30" s="45"/>
    </row>
    <row r="31" spans="1:8" ht="16.5" customHeight="1" x14ac:dyDescent="0.3">
      <c r="A31" s="22" t="s">
        <v>244</v>
      </c>
      <c r="B31" s="24" t="s">
        <v>224</v>
      </c>
      <c r="C31" s="89"/>
      <c r="D31" s="90">
        <v>188080</v>
      </c>
      <c r="E31" s="90">
        <v>188080</v>
      </c>
      <c r="F31" s="90"/>
      <c r="G31" s="45">
        <f>171574+15968</f>
        <v>187542</v>
      </c>
      <c r="H31" s="45">
        <v>15968</v>
      </c>
    </row>
    <row r="32" spans="1:8" ht="16.5" customHeight="1" x14ac:dyDescent="0.3">
      <c r="A32" s="22" t="s">
        <v>246</v>
      </c>
      <c r="B32" s="24" t="s">
        <v>226</v>
      </c>
      <c r="C32" s="89"/>
      <c r="D32" s="90">
        <v>177180</v>
      </c>
      <c r="E32" s="90">
        <v>177180</v>
      </c>
      <c r="F32" s="90"/>
      <c r="G32" s="45">
        <f>150327+24378</f>
        <v>174705</v>
      </c>
      <c r="H32" s="45">
        <v>24378</v>
      </c>
    </row>
    <row r="33" spans="1:8" ht="16.5" customHeight="1" x14ac:dyDescent="0.3">
      <c r="A33" s="22"/>
      <c r="B33" s="24" t="s">
        <v>228</v>
      </c>
      <c r="C33" s="89"/>
      <c r="D33" s="90">
        <v>2810</v>
      </c>
      <c r="E33" s="90">
        <v>2810</v>
      </c>
      <c r="F33" s="90"/>
      <c r="G33" s="45">
        <v>2810</v>
      </c>
      <c r="H33" s="45">
        <v>0</v>
      </c>
    </row>
    <row r="34" spans="1:8" ht="16.5" customHeight="1" x14ac:dyDescent="0.3">
      <c r="A34" s="22" t="s">
        <v>248</v>
      </c>
      <c r="B34" s="20" t="s">
        <v>230</v>
      </c>
      <c r="C34" s="89">
        <f t="shared" ref="C34:H34" si="35">C35</f>
        <v>0</v>
      </c>
      <c r="D34" s="89">
        <f t="shared" si="35"/>
        <v>0</v>
      </c>
      <c r="E34" s="89">
        <f t="shared" si="35"/>
        <v>0</v>
      </c>
      <c r="F34" s="89">
        <f t="shared" si="35"/>
        <v>0</v>
      </c>
      <c r="G34" s="89">
        <f t="shared" si="35"/>
        <v>0</v>
      </c>
      <c r="H34" s="89">
        <f t="shared" si="35"/>
        <v>0</v>
      </c>
    </row>
    <row r="35" spans="1:8" ht="16.5" customHeight="1" x14ac:dyDescent="0.3">
      <c r="A35" s="22" t="s">
        <v>250</v>
      </c>
      <c r="B35" s="24" t="s">
        <v>232</v>
      </c>
      <c r="C35" s="89"/>
      <c r="D35" s="90"/>
      <c r="E35" s="90"/>
      <c r="F35" s="90"/>
      <c r="G35" s="45"/>
      <c r="H35" s="45"/>
    </row>
    <row r="36" spans="1:8" ht="16.5" customHeight="1" x14ac:dyDescent="0.3">
      <c r="A36" s="17" t="s">
        <v>252</v>
      </c>
      <c r="B36" s="20" t="s">
        <v>234</v>
      </c>
      <c r="C36" s="88">
        <f t="shared" ref="C36:H36" si="36">+C37+C38+C39+C40+C41+C42+C43</f>
        <v>0</v>
      </c>
      <c r="D36" s="88">
        <f t="shared" si="36"/>
        <v>126260</v>
      </c>
      <c r="E36" s="88">
        <f t="shared" si="36"/>
        <v>126260</v>
      </c>
      <c r="F36" s="88">
        <f t="shared" si="36"/>
        <v>20</v>
      </c>
      <c r="G36" s="88">
        <f t="shared" si="36"/>
        <v>126119</v>
      </c>
      <c r="H36" s="88">
        <f t="shared" si="36"/>
        <v>10394</v>
      </c>
    </row>
    <row r="37" spans="1:8" ht="16.5" customHeight="1" x14ac:dyDescent="0.3">
      <c r="A37" s="22" t="s">
        <v>254</v>
      </c>
      <c r="B37" s="24" t="s">
        <v>236</v>
      </c>
      <c r="C37" s="89"/>
      <c r="D37" s="90">
        <v>440</v>
      </c>
      <c r="E37" s="90">
        <v>440</v>
      </c>
      <c r="F37" s="90"/>
      <c r="G37" s="45">
        <v>436</v>
      </c>
      <c r="H37" s="45"/>
    </row>
    <row r="38" spans="1:8" ht="16.5" customHeight="1" x14ac:dyDescent="0.3">
      <c r="A38" s="22" t="s">
        <v>256</v>
      </c>
      <c r="B38" s="24" t="s">
        <v>238</v>
      </c>
      <c r="C38" s="89"/>
      <c r="D38" s="90">
        <v>20</v>
      </c>
      <c r="E38" s="90">
        <v>20</v>
      </c>
      <c r="F38" s="90">
        <v>20</v>
      </c>
      <c r="G38" s="45">
        <v>15</v>
      </c>
      <c r="H38" s="45"/>
    </row>
    <row r="39" spans="1:8" s="19" customFormat="1" ht="16.5" customHeight="1" x14ac:dyDescent="0.3">
      <c r="A39" s="22" t="s">
        <v>258</v>
      </c>
      <c r="B39" s="24" t="s">
        <v>240</v>
      </c>
      <c r="C39" s="89"/>
      <c r="D39" s="90">
        <v>150</v>
      </c>
      <c r="E39" s="90">
        <v>150</v>
      </c>
      <c r="F39" s="90"/>
      <c r="G39" s="45">
        <v>142</v>
      </c>
      <c r="H39" s="45"/>
    </row>
    <row r="40" spans="1:8" ht="16.5" customHeight="1" x14ac:dyDescent="0.3">
      <c r="A40" s="22" t="s">
        <v>260</v>
      </c>
      <c r="B40" s="25" t="s">
        <v>242</v>
      </c>
      <c r="C40" s="89"/>
      <c r="D40" s="90">
        <v>10</v>
      </c>
      <c r="E40" s="90">
        <v>10</v>
      </c>
      <c r="F40" s="90"/>
      <c r="G40" s="45">
        <v>5</v>
      </c>
      <c r="H40" s="45"/>
    </row>
    <row r="41" spans="1:8" ht="16.5" customHeight="1" x14ac:dyDescent="0.3">
      <c r="A41" s="22" t="s">
        <v>262</v>
      </c>
      <c r="B41" s="25" t="s">
        <v>41</v>
      </c>
      <c r="C41" s="89"/>
      <c r="D41" s="90">
        <v>30</v>
      </c>
      <c r="E41" s="90">
        <v>30</v>
      </c>
      <c r="F41" s="90"/>
      <c r="G41" s="45">
        <v>22</v>
      </c>
      <c r="H41" s="45"/>
    </row>
    <row r="42" spans="1:8" ht="16.5" customHeight="1" x14ac:dyDescent="0.3">
      <c r="A42" s="22" t="s">
        <v>264</v>
      </c>
      <c r="B42" s="25" t="s">
        <v>245</v>
      </c>
      <c r="C42" s="89"/>
      <c r="D42" s="90">
        <v>125610</v>
      </c>
      <c r="E42" s="90">
        <v>125610</v>
      </c>
      <c r="F42" s="90"/>
      <c r="G42" s="45">
        <f>115105+10394</f>
        <v>125499</v>
      </c>
      <c r="H42" s="45">
        <v>10394</v>
      </c>
    </row>
    <row r="43" spans="1:8" ht="16.5" customHeight="1" x14ac:dyDescent="0.3">
      <c r="A43" s="22" t="s">
        <v>266</v>
      </c>
      <c r="B43" s="25" t="s">
        <v>247</v>
      </c>
      <c r="C43" s="89"/>
      <c r="D43" s="90"/>
      <c r="E43" s="90"/>
      <c r="F43" s="90"/>
      <c r="G43" s="45"/>
      <c r="H43" s="45"/>
    </row>
    <row r="44" spans="1:8" ht="16.5" customHeight="1" x14ac:dyDescent="0.3">
      <c r="A44" s="17" t="s">
        <v>268</v>
      </c>
      <c r="B44" s="20" t="s">
        <v>191</v>
      </c>
      <c r="C44" s="88">
        <f t="shared" ref="C44" si="37">+C45+C59+C58+C61+C64+C66+C67+C69+C65+C68</f>
        <v>0</v>
      </c>
      <c r="D44" s="88">
        <f t="shared" ref="D44:H44" si="38">+D45+D59+D58+D61+D64+D66+D67+D69+D65+D68</f>
        <v>621353170</v>
      </c>
      <c r="E44" s="88">
        <f t="shared" si="38"/>
        <v>620376780</v>
      </c>
      <c r="F44" s="88">
        <f t="shared" si="38"/>
        <v>0</v>
      </c>
      <c r="G44" s="88">
        <f t="shared" si="38"/>
        <v>620300938.6400001</v>
      </c>
      <c r="H44" s="88">
        <f t="shared" si="38"/>
        <v>55572051.539999999</v>
      </c>
    </row>
    <row r="45" spans="1:8" ht="16.5" customHeight="1" x14ac:dyDescent="0.3">
      <c r="A45" s="17" t="s">
        <v>270</v>
      </c>
      <c r="B45" s="20" t="s">
        <v>249</v>
      </c>
      <c r="C45" s="88">
        <f t="shared" ref="C45" si="39">+C46+C47+C48+C49+C50+C51+C52+C53+C55</f>
        <v>0</v>
      </c>
      <c r="D45" s="88">
        <f t="shared" ref="D45:H45" si="40">+D46+D47+D48+D49+D50+D51+D52+D53+D55</f>
        <v>621227120</v>
      </c>
      <c r="E45" s="88">
        <f t="shared" si="40"/>
        <v>620250730</v>
      </c>
      <c r="F45" s="88">
        <f t="shared" si="40"/>
        <v>0</v>
      </c>
      <c r="G45" s="88">
        <f t="shared" si="40"/>
        <v>620175097.74000001</v>
      </c>
      <c r="H45" s="88">
        <f t="shared" si="40"/>
        <v>55507970.270000003</v>
      </c>
    </row>
    <row r="46" spans="1:8" s="19" customFormat="1" ht="16.5" customHeight="1" x14ac:dyDescent="0.3">
      <c r="A46" s="22" t="s">
        <v>272</v>
      </c>
      <c r="B46" s="24" t="s">
        <v>251</v>
      </c>
      <c r="C46" s="89"/>
      <c r="D46" s="90">
        <v>88380</v>
      </c>
      <c r="E46" s="90">
        <v>88380</v>
      </c>
      <c r="F46" s="90"/>
      <c r="G46" s="45">
        <f>79899.17+8452.83</f>
        <v>88352</v>
      </c>
      <c r="H46" s="45">
        <v>8452.83</v>
      </c>
    </row>
    <row r="47" spans="1:8" s="19" customFormat="1" ht="16.5" customHeight="1" x14ac:dyDescent="0.3">
      <c r="A47" s="22" t="s">
        <v>274</v>
      </c>
      <c r="B47" s="24" t="s">
        <v>253</v>
      </c>
      <c r="C47" s="89"/>
      <c r="D47" s="90"/>
      <c r="E47" s="90"/>
      <c r="F47" s="90"/>
      <c r="G47" s="45"/>
      <c r="H47" s="45"/>
    </row>
    <row r="48" spans="1:8" ht="16.5" customHeight="1" x14ac:dyDescent="0.3">
      <c r="A48" s="22" t="s">
        <v>276</v>
      </c>
      <c r="B48" s="24" t="s">
        <v>255</v>
      </c>
      <c r="C48" s="89"/>
      <c r="D48" s="90">
        <v>102000</v>
      </c>
      <c r="E48" s="90">
        <v>102000</v>
      </c>
      <c r="F48" s="90"/>
      <c r="G48" s="45">
        <f>88707.26+12988.52</f>
        <v>101695.78</v>
      </c>
      <c r="H48" s="45">
        <v>12988.52</v>
      </c>
    </row>
    <row r="49" spans="1:8" ht="16.5" customHeight="1" x14ac:dyDescent="0.3">
      <c r="A49" s="22" t="s">
        <v>278</v>
      </c>
      <c r="B49" s="24" t="s">
        <v>257</v>
      </c>
      <c r="C49" s="89"/>
      <c r="D49" s="90">
        <v>16000</v>
      </c>
      <c r="E49" s="90">
        <v>16000</v>
      </c>
      <c r="F49" s="90"/>
      <c r="G49" s="45">
        <f>13866.69+1931.59</f>
        <v>15798.28</v>
      </c>
      <c r="H49" s="45">
        <v>1931.59</v>
      </c>
    </row>
    <row r="50" spans="1:8" ht="16.5" customHeight="1" x14ac:dyDescent="0.3">
      <c r="A50" s="22" t="s">
        <v>280</v>
      </c>
      <c r="B50" s="24" t="s">
        <v>259</v>
      </c>
      <c r="C50" s="89"/>
      <c r="D50" s="90">
        <v>11000</v>
      </c>
      <c r="E50" s="90">
        <v>11000</v>
      </c>
      <c r="F50" s="90"/>
      <c r="G50" s="45">
        <f>8500+2500</f>
        <v>11000</v>
      </c>
      <c r="H50" s="45">
        <v>2500</v>
      </c>
    </row>
    <row r="51" spans="1:8" ht="16.5" customHeight="1" x14ac:dyDescent="0.3">
      <c r="A51" s="22" t="s">
        <v>282</v>
      </c>
      <c r="B51" s="24" t="s">
        <v>261</v>
      </c>
      <c r="C51" s="89"/>
      <c r="D51" s="90">
        <v>5000</v>
      </c>
      <c r="E51" s="90">
        <v>5000</v>
      </c>
      <c r="F51" s="90"/>
      <c r="G51" s="45">
        <f>4160.84+834.3</f>
        <v>4995.1400000000003</v>
      </c>
      <c r="H51" s="45">
        <v>834.3</v>
      </c>
    </row>
    <row r="52" spans="1:8" ht="16.5" customHeight="1" x14ac:dyDescent="0.3">
      <c r="A52" s="22" t="s">
        <v>284</v>
      </c>
      <c r="B52" s="24" t="s">
        <v>263</v>
      </c>
      <c r="C52" s="89"/>
      <c r="D52" s="90">
        <v>78800</v>
      </c>
      <c r="E52" s="90">
        <v>78800</v>
      </c>
      <c r="F52" s="90"/>
      <c r="G52" s="45">
        <f>71736.35+7063.65</f>
        <v>78800</v>
      </c>
      <c r="H52" s="45">
        <v>7063.65</v>
      </c>
    </row>
    <row r="53" spans="1:8" ht="16.5" customHeight="1" x14ac:dyDescent="0.35">
      <c r="A53" s="17" t="s">
        <v>286</v>
      </c>
      <c r="B53" s="20" t="s">
        <v>265</v>
      </c>
      <c r="C53" s="91">
        <f t="shared" ref="C53:H53" si="41">+C54+C89</f>
        <v>0</v>
      </c>
      <c r="D53" s="91">
        <f t="shared" si="41"/>
        <v>620905270</v>
      </c>
      <c r="E53" s="91">
        <f t="shared" si="41"/>
        <v>619928880</v>
      </c>
      <c r="F53" s="91">
        <f t="shared" si="41"/>
        <v>0</v>
      </c>
      <c r="G53" s="91">
        <f t="shared" si="41"/>
        <v>619857125.38</v>
      </c>
      <c r="H53" s="91">
        <f t="shared" si="41"/>
        <v>55469866.590000004</v>
      </c>
    </row>
    <row r="54" spans="1:8" ht="16.5" customHeight="1" x14ac:dyDescent="0.3">
      <c r="A54" s="27" t="s">
        <v>288</v>
      </c>
      <c r="B54" s="28" t="s">
        <v>267</v>
      </c>
      <c r="C54" s="92"/>
      <c r="D54" s="90">
        <v>474460</v>
      </c>
      <c r="E54" s="90">
        <v>474460</v>
      </c>
      <c r="F54" s="90"/>
      <c r="G54" s="45">
        <f>434385.74+40073.76</f>
        <v>474459.5</v>
      </c>
      <c r="H54" s="45">
        <v>40073.760000000002</v>
      </c>
    </row>
    <row r="55" spans="1:8" s="19" customFormat="1" ht="16.5" customHeight="1" x14ac:dyDescent="0.3">
      <c r="A55" s="22" t="s">
        <v>290</v>
      </c>
      <c r="B55" s="24" t="s">
        <v>269</v>
      </c>
      <c r="C55" s="89"/>
      <c r="D55" s="90">
        <v>20670</v>
      </c>
      <c r="E55" s="90">
        <v>20670</v>
      </c>
      <c r="F55" s="90"/>
      <c r="G55" s="45">
        <f>12998.37+4332.79</f>
        <v>17331.16</v>
      </c>
      <c r="H55" s="45">
        <v>4332.79</v>
      </c>
    </row>
    <row r="56" spans="1:8" s="26" customFormat="1" ht="16.5" customHeight="1" x14ac:dyDescent="0.3">
      <c r="A56" s="22"/>
      <c r="B56" s="24" t="s">
        <v>271</v>
      </c>
      <c r="C56" s="89"/>
      <c r="D56" s="90"/>
      <c r="E56" s="90"/>
      <c r="F56" s="90"/>
      <c r="G56" s="45"/>
      <c r="H56" s="45"/>
    </row>
    <row r="57" spans="1:8" ht="16.5" customHeight="1" x14ac:dyDescent="0.3">
      <c r="A57" s="22"/>
      <c r="B57" s="24" t="s">
        <v>273</v>
      </c>
      <c r="C57" s="89"/>
      <c r="D57" s="90">
        <v>20670</v>
      </c>
      <c r="E57" s="90">
        <v>20670</v>
      </c>
      <c r="F57" s="90"/>
      <c r="G57" s="45">
        <f>12998.37+4332.79</f>
        <v>17331.16</v>
      </c>
      <c r="H57" s="45">
        <v>4332.79</v>
      </c>
    </row>
    <row r="58" spans="1:8" s="19" customFormat="1" ht="16.5" customHeight="1" x14ac:dyDescent="0.3">
      <c r="A58" s="17" t="s">
        <v>294</v>
      </c>
      <c r="B58" s="24" t="s">
        <v>275</v>
      </c>
      <c r="C58" s="89"/>
      <c r="D58" s="90">
        <v>104700</v>
      </c>
      <c r="E58" s="90">
        <v>104700</v>
      </c>
      <c r="F58" s="90"/>
      <c r="G58" s="45">
        <f>48111.7+56588.29</f>
        <v>104699.98999999999</v>
      </c>
      <c r="H58" s="45">
        <v>56588.29</v>
      </c>
    </row>
    <row r="59" spans="1:8" s="19" customFormat="1" ht="16.5" customHeight="1" x14ac:dyDescent="0.3">
      <c r="A59" s="17" t="s">
        <v>296</v>
      </c>
      <c r="B59" s="20" t="s">
        <v>277</v>
      </c>
      <c r="C59" s="93">
        <f t="shared" ref="C59:H59" si="42">+C60</f>
        <v>0</v>
      </c>
      <c r="D59" s="93">
        <f t="shared" si="42"/>
        <v>7300</v>
      </c>
      <c r="E59" s="93">
        <f t="shared" si="42"/>
        <v>7300</v>
      </c>
      <c r="F59" s="93">
        <f t="shared" si="42"/>
        <v>0</v>
      </c>
      <c r="G59" s="93">
        <f t="shared" si="42"/>
        <v>7299.98</v>
      </c>
      <c r="H59" s="93">
        <f t="shared" si="42"/>
        <v>4999.9799999999996</v>
      </c>
    </row>
    <row r="60" spans="1:8" s="19" customFormat="1" ht="16.5" customHeight="1" x14ac:dyDescent="0.3">
      <c r="A60" s="22" t="s">
        <v>298</v>
      </c>
      <c r="B60" s="24" t="s">
        <v>279</v>
      </c>
      <c r="C60" s="89"/>
      <c r="D60" s="90">
        <v>7300</v>
      </c>
      <c r="E60" s="90">
        <v>7300</v>
      </c>
      <c r="F60" s="90"/>
      <c r="G60" s="45">
        <f>2300+4999.98</f>
        <v>7299.98</v>
      </c>
      <c r="H60" s="93">
        <v>4999.9799999999996</v>
      </c>
    </row>
    <row r="61" spans="1:8" s="19" customFormat="1" ht="16.5" customHeight="1" x14ac:dyDescent="0.3">
      <c r="A61" s="17" t="s">
        <v>300</v>
      </c>
      <c r="B61" s="20" t="s">
        <v>281</v>
      </c>
      <c r="C61" s="88">
        <f t="shared" ref="C61:H61" si="43">+C62+C63</f>
        <v>0</v>
      </c>
      <c r="D61" s="88">
        <f t="shared" si="43"/>
        <v>4000</v>
      </c>
      <c r="E61" s="88">
        <f t="shared" si="43"/>
        <v>4000</v>
      </c>
      <c r="F61" s="88">
        <f t="shared" si="43"/>
        <v>0</v>
      </c>
      <c r="G61" s="88">
        <f t="shared" si="43"/>
        <v>3800.33</v>
      </c>
      <c r="H61" s="88">
        <f t="shared" si="43"/>
        <v>2493</v>
      </c>
    </row>
    <row r="62" spans="1:8" ht="16.5" customHeight="1" x14ac:dyDescent="0.3">
      <c r="A62" s="17" t="s">
        <v>301</v>
      </c>
      <c r="B62" s="24" t="s">
        <v>283</v>
      </c>
      <c r="C62" s="89"/>
      <c r="D62" s="90">
        <v>4000</v>
      </c>
      <c r="E62" s="90">
        <v>4000</v>
      </c>
      <c r="F62" s="90"/>
      <c r="G62" s="45">
        <f>1307.33+2493</f>
        <v>3800.33</v>
      </c>
      <c r="H62" s="45">
        <v>2493</v>
      </c>
    </row>
    <row r="63" spans="1:8" s="19" customFormat="1" ht="16.5" customHeight="1" x14ac:dyDescent="0.3">
      <c r="A63" s="17" t="s">
        <v>303</v>
      </c>
      <c r="B63" s="24" t="s">
        <v>285</v>
      </c>
      <c r="C63" s="89"/>
      <c r="D63" s="90"/>
      <c r="E63" s="90"/>
      <c r="F63" s="90"/>
      <c r="G63" s="45"/>
      <c r="H63" s="45"/>
    </row>
    <row r="64" spans="1:8" ht="16.5" customHeight="1" x14ac:dyDescent="0.3">
      <c r="A64" s="22" t="s">
        <v>305</v>
      </c>
      <c r="B64" s="24" t="s">
        <v>287</v>
      </c>
      <c r="C64" s="89"/>
      <c r="D64" s="90"/>
      <c r="E64" s="90"/>
      <c r="F64" s="90"/>
      <c r="G64" s="45"/>
      <c r="H64" s="45"/>
    </row>
    <row r="65" spans="1:8" ht="16.5" customHeight="1" x14ac:dyDescent="0.3">
      <c r="A65" s="22" t="s">
        <v>306</v>
      </c>
      <c r="B65" s="23" t="s">
        <v>289</v>
      </c>
      <c r="C65" s="89"/>
      <c r="D65" s="90"/>
      <c r="E65" s="90"/>
      <c r="F65" s="90"/>
      <c r="G65" s="45"/>
      <c r="H65" s="45"/>
    </row>
    <row r="66" spans="1:8" ht="16.5" customHeight="1" x14ac:dyDescent="0.3">
      <c r="A66" s="22" t="s">
        <v>308</v>
      </c>
      <c r="B66" s="24" t="s">
        <v>291</v>
      </c>
      <c r="C66" s="89"/>
      <c r="D66" s="90"/>
      <c r="E66" s="90"/>
      <c r="F66" s="90"/>
      <c r="G66" s="45"/>
      <c r="H66" s="45"/>
    </row>
    <row r="67" spans="1:8" ht="16.5" customHeight="1" x14ac:dyDescent="0.3">
      <c r="A67" s="22" t="s">
        <v>310</v>
      </c>
      <c r="B67" s="24" t="s">
        <v>292</v>
      </c>
      <c r="C67" s="89"/>
      <c r="D67" s="90"/>
      <c r="E67" s="90"/>
      <c r="F67" s="90"/>
      <c r="G67" s="45"/>
      <c r="H67" s="45"/>
    </row>
    <row r="68" spans="1:8" ht="30" x14ac:dyDescent="0.3">
      <c r="A68" s="22" t="s">
        <v>311</v>
      </c>
      <c r="B68" s="24" t="s">
        <v>293</v>
      </c>
      <c r="C68" s="89"/>
      <c r="D68" s="90">
        <v>10050</v>
      </c>
      <c r="E68" s="90">
        <v>10050</v>
      </c>
      <c r="F68" s="90"/>
      <c r="G68" s="45">
        <v>10040.6</v>
      </c>
      <c r="H68" s="45"/>
    </row>
    <row r="69" spans="1:8" ht="16.5" customHeight="1" x14ac:dyDescent="0.3">
      <c r="A69" s="17" t="s">
        <v>312</v>
      </c>
      <c r="B69" s="20" t="s">
        <v>295</v>
      </c>
      <c r="C69" s="93">
        <f t="shared" ref="C69:H69" si="44">+C70+C71</f>
        <v>0</v>
      </c>
      <c r="D69" s="93">
        <f t="shared" si="44"/>
        <v>0</v>
      </c>
      <c r="E69" s="93">
        <f t="shared" si="44"/>
        <v>0</v>
      </c>
      <c r="F69" s="93">
        <f t="shared" si="44"/>
        <v>0</v>
      </c>
      <c r="G69" s="93">
        <f t="shared" si="44"/>
        <v>0</v>
      </c>
      <c r="H69" s="93">
        <f t="shared" si="44"/>
        <v>0</v>
      </c>
    </row>
    <row r="70" spans="1:8" ht="16.5" customHeight="1" x14ac:dyDescent="0.3">
      <c r="A70" s="22" t="s">
        <v>314</v>
      </c>
      <c r="B70" s="24" t="s">
        <v>297</v>
      </c>
      <c r="C70" s="89"/>
      <c r="D70" s="90"/>
      <c r="E70" s="90"/>
      <c r="F70" s="90"/>
      <c r="G70" s="45"/>
      <c r="H70" s="45"/>
    </row>
    <row r="71" spans="1:8" s="19" customFormat="1" ht="16.5" customHeight="1" x14ac:dyDescent="0.3">
      <c r="A71" s="22" t="s">
        <v>316</v>
      </c>
      <c r="B71" s="24" t="s">
        <v>299</v>
      </c>
      <c r="C71" s="89"/>
      <c r="D71" s="90"/>
      <c r="E71" s="90"/>
      <c r="F71" s="90"/>
      <c r="G71" s="94"/>
      <c r="H71" s="94"/>
    </row>
    <row r="72" spans="1:8" ht="16.5" customHeight="1" x14ac:dyDescent="0.3">
      <c r="A72" s="17" t="s">
        <v>318</v>
      </c>
      <c r="B72" s="20" t="s">
        <v>192</v>
      </c>
      <c r="C72" s="87">
        <f>+C73</f>
        <v>0</v>
      </c>
      <c r="D72" s="87">
        <f t="shared" ref="D72:H73" si="45">+D73</f>
        <v>0</v>
      </c>
      <c r="E72" s="87">
        <f t="shared" si="45"/>
        <v>0</v>
      </c>
      <c r="F72" s="87">
        <f t="shared" si="45"/>
        <v>0</v>
      </c>
      <c r="G72" s="87">
        <f t="shared" si="45"/>
        <v>0</v>
      </c>
      <c r="H72" s="87">
        <f t="shared" si="45"/>
        <v>0</v>
      </c>
    </row>
    <row r="73" spans="1:8" ht="16.5" customHeight="1" x14ac:dyDescent="0.3">
      <c r="A73" s="29" t="s">
        <v>320</v>
      </c>
      <c r="B73" s="20" t="s">
        <v>302</v>
      </c>
      <c r="C73" s="87">
        <f>+C74</f>
        <v>0</v>
      </c>
      <c r="D73" s="87">
        <f t="shared" si="45"/>
        <v>0</v>
      </c>
      <c r="E73" s="87">
        <f t="shared" si="45"/>
        <v>0</v>
      </c>
      <c r="F73" s="87">
        <f t="shared" si="45"/>
        <v>0</v>
      </c>
      <c r="G73" s="87">
        <f t="shared" si="45"/>
        <v>0</v>
      </c>
      <c r="H73" s="87">
        <f t="shared" si="45"/>
        <v>0</v>
      </c>
    </row>
    <row r="74" spans="1:8" s="19" customFormat="1" ht="16.5" customHeight="1" x14ac:dyDescent="0.3">
      <c r="A74" s="29" t="s">
        <v>322</v>
      </c>
      <c r="B74" s="24" t="s">
        <v>304</v>
      </c>
      <c r="C74" s="89"/>
      <c r="D74" s="90"/>
      <c r="E74" s="90"/>
      <c r="F74" s="90"/>
      <c r="G74" s="45"/>
      <c r="H74" s="45"/>
    </row>
    <row r="75" spans="1:8" s="19" customFormat="1" ht="16.5" customHeight="1" x14ac:dyDescent="0.3">
      <c r="A75" s="29" t="s">
        <v>196</v>
      </c>
      <c r="B75" s="30" t="s">
        <v>197</v>
      </c>
      <c r="C75" s="89">
        <f t="shared" ref="C75:H75" si="46">C76+C77</f>
        <v>0</v>
      </c>
      <c r="D75" s="89">
        <f t="shared" si="46"/>
        <v>2520</v>
      </c>
      <c r="E75" s="89">
        <f t="shared" si="46"/>
        <v>2520</v>
      </c>
      <c r="F75" s="89">
        <f t="shared" si="46"/>
        <v>0</v>
      </c>
      <c r="G75" s="89">
        <f t="shared" si="46"/>
        <v>2097</v>
      </c>
      <c r="H75" s="89">
        <f t="shared" si="46"/>
        <v>276</v>
      </c>
    </row>
    <row r="76" spans="1:8" s="19" customFormat="1" ht="16.5" customHeight="1" x14ac:dyDescent="0.3">
      <c r="A76" s="29" t="s">
        <v>325</v>
      </c>
      <c r="B76" s="31" t="s">
        <v>307</v>
      </c>
      <c r="C76" s="89"/>
      <c r="D76" s="90"/>
      <c r="E76" s="90"/>
      <c r="F76" s="90"/>
      <c r="G76" s="45"/>
      <c r="H76" s="45"/>
    </row>
    <row r="77" spans="1:8" ht="16.5" customHeight="1" x14ac:dyDescent="0.3">
      <c r="A77" s="29" t="s">
        <v>327</v>
      </c>
      <c r="B77" s="31" t="s">
        <v>309</v>
      </c>
      <c r="C77" s="89"/>
      <c r="D77" s="90">
        <v>2520</v>
      </c>
      <c r="E77" s="90">
        <v>2520</v>
      </c>
      <c r="F77" s="90"/>
      <c r="G77" s="45">
        <f>1821+276</f>
        <v>2097</v>
      </c>
      <c r="H77" s="45">
        <v>276</v>
      </c>
    </row>
    <row r="78" spans="1:8" s="19" customFormat="1" ht="16.5" customHeight="1" x14ac:dyDescent="0.3">
      <c r="A78" s="17" t="s">
        <v>329</v>
      </c>
      <c r="B78" s="20" t="s">
        <v>198</v>
      </c>
      <c r="C78" s="88">
        <f t="shared" ref="C78:H78" si="47">+C79</f>
        <v>0</v>
      </c>
      <c r="D78" s="88">
        <f t="shared" si="47"/>
        <v>57000</v>
      </c>
      <c r="E78" s="88">
        <f t="shared" si="47"/>
        <v>57000</v>
      </c>
      <c r="F78" s="88">
        <f t="shared" si="47"/>
        <v>0</v>
      </c>
      <c r="G78" s="88">
        <f t="shared" si="47"/>
        <v>56986</v>
      </c>
      <c r="H78" s="88">
        <f t="shared" si="47"/>
        <v>10000</v>
      </c>
    </row>
    <row r="79" spans="1:8" s="19" customFormat="1" ht="16.5" customHeight="1" x14ac:dyDescent="0.3">
      <c r="A79" s="17" t="s">
        <v>331</v>
      </c>
      <c r="B79" s="20" t="s">
        <v>199</v>
      </c>
      <c r="C79" s="88">
        <f t="shared" ref="C79" si="48">+C80+C85</f>
        <v>0</v>
      </c>
      <c r="D79" s="88">
        <f t="shared" ref="D79:H79" si="49">+D80+D85</f>
        <v>57000</v>
      </c>
      <c r="E79" s="88">
        <f t="shared" si="49"/>
        <v>57000</v>
      </c>
      <c r="F79" s="88">
        <f t="shared" si="49"/>
        <v>0</v>
      </c>
      <c r="G79" s="88">
        <f t="shared" si="49"/>
        <v>56986</v>
      </c>
      <c r="H79" s="88">
        <f t="shared" si="49"/>
        <v>10000</v>
      </c>
    </row>
    <row r="80" spans="1:8" s="19" customFormat="1" ht="16.5" customHeight="1" x14ac:dyDescent="0.3">
      <c r="A80" s="17" t="s">
        <v>333</v>
      </c>
      <c r="B80" s="20" t="s">
        <v>313</v>
      </c>
      <c r="C80" s="88">
        <f t="shared" ref="C80" si="50">+C82+C84+C83+C81</f>
        <v>0</v>
      </c>
      <c r="D80" s="88">
        <f t="shared" ref="D80:H80" si="51">+D82+D84+D83+D81</f>
        <v>57000</v>
      </c>
      <c r="E80" s="88">
        <f t="shared" si="51"/>
        <v>57000</v>
      </c>
      <c r="F80" s="88">
        <f t="shared" si="51"/>
        <v>0</v>
      </c>
      <c r="G80" s="88">
        <f t="shared" si="51"/>
        <v>56986</v>
      </c>
      <c r="H80" s="88">
        <f t="shared" si="51"/>
        <v>10000</v>
      </c>
    </row>
    <row r="81" spans="1:8" s="19" customFormat="1" ht="16.5" customHeight="1" x14ac:dyDescent="0.3">
      <c r="A81" s="17" t="s">
        <v>335</v>
      </c>
      <c r="B81" s="23" t="s">
        <v>315</v>
      </c>
      <c r="C81" s="88"/>
      <c r="D81" s="90"/>
      <c r="E81" s="90"/>
      <c r="F81" s="90"/>
      <c r="G81" s="45"/>
      <c r="H81" s="45"/>
    </row>
    <row r="82" spans="1:8" s="19" customFormat="1" ht="16.5" customHeight="1" x14ac:dyDescent="0.3">
      <c r="A82" s="22" t="s">
        <v>337</v>
      </c>
      <c r="B82" s="24" t="s">
        <v>317</v>
      </c>
      <c r="C82" s="89"/>
      <c r="D82" s="90">
        <v>47000</v>
      </c>
      <c r="E82" s="90">
        <v>47000</v>
      </c>
      <c r="F82" s="90"/>
      <c r="G82" s="45">
        <v>46986</v>
      </c>
      <c r="H82" s="45"/>
    </row>
    <row r="83" spans="1:8" s="19" customFormat="1" ht="16.5" customHeight="1" x14ac:dyDescent="0.3">
      <c r="A83" s="22" t="s">
        <v>339</v>
      </c>
      <c r="B83" s="23" t="s">
        <v>319</v>
      </c>
      <c r="C83" s="89"/>
      <c r="D83" s="90">
        <v>10000</v>
      </c>
      <c r="E83" s="90">
        <v>10000</v>
      </c>
      <c r="F83" s="90"/>
      <c r="G83" s="45">
        <v>10000</v>
      </c>
      <c r="H83" s="45">
        <v>10000</v>
      </c>
    </row>
    <row r="84" spans="1:8" ht="16.5" customHeight="1" x14ac:dyDescent="0.3">
      <c r="A84" s="22" t="s">
        <v>340</v>
      </c>
      <c r="B84" s="24" t="s">
        <v>321</v>
      </c>
      <c r="C84" s="89"/>
      <c r="D84" s="90"/>
      <c r="E84" s="90"/>
      <c r="F84" s="90"/>
      <c r="G84" s="45"/>
      <c r="H84" s="45"/>
    </row>
    <row r="85" spans="1:8" ht="16.5" customHeight="1" x14ac:dyDescent="0.3">
      <c r="A85" s="32" t="s">
        <v>342</v>
      </c>
      <c r="B85" s="23" t="s">
        <v>323</v>
      </c>
      <c r="C85" s="89"/>
      <c r="D85" s="90"/>
      <c r="E85" s="90"/>
      <c r="F85" s="90"/>
      <c r="G85" s="45"/>
      <c r="H85" s="45"/>
    </row>
    <row r="86" spans="1:8" ht="16.5" customHeight="1" x14ac:dyDescent="0.3">
      <c r="A86" s="22" t="s">
        <v>227</v>
      </c>
      <c r="B86" s="24" t="s">
        <v>324</v>
      </c>
      <c r="C86" s="89"/>
      <c r="D86" s="90"/>
      <c r="E86" s="90"/>
      <c r="F86" s="90"/>
      <c r="G86" s="45"/>
      <c r="H86" s="45"/>
    </row>
    <row r="87" spans="1:8" ht="16.5" customHeight="1" x14ac:dyDescent="0.3">
      <c r="A87" s="22" t="s">
        <v>344</v>
      </c>
      <c r="B87" s="24" t="s">
        <v>326</v>
      </c>
      <c r="C87" s="87">
        <f t="shared" ref="C87:H87" si="52">+C44-C89+C23+C78+C186+C75</f>
        <v>0</v>
      </c>
      <c r="D87" s="87">
        <f t="shared" si="52"/>
        <v>319469660</v>
      </c>
      <c r="E87" s="87">
        <f t="shared" si="52"/>
        <v>319469660</v>
      </c>
      <c r="F87" s="87">
        <f t="shared" si="52"/>
        <v>20</v>
      </c>
      <c r="G87" s="87">
        <f t="shared" si="52"/>
        <v>319458591.76000011</v>
      </c>
      <c r="H87" s="87">
        <f t="shared" si="52"/>
        <v>25744939.709999993</v>
      </c>
    </row>
    <row r="88" spans="1:8" ht="16.5" customHeight="1" x14ac:dyDescent="0.3">
      <c r="A88" s="22"/>
      <c r="B88" s="24" t="s">
        <v>328</v>
      </c>
      <c r="C88" s="87"/>
      <c r="D88" s="90"/>
      <c r="E88" s="90"/>
      <c r="F88" s="90"/>
      <c r="G88" s="90">
        <f>-7695-23750-68500</f>
        <v>-99945</v>
      </c>
      <c r="H88" s="90">
        <v>-68500</v>
      </c>
    </row>
    <row r="89" spans="1:8" ht="16.5" customHeight="1" x14ac:dyDescent="0.35">
      <c r="A89" s="22" t="s">
        <v>347</v>
      </c>
      <c r="B89" s="20" t="s">
        <v>330</v>
      </c>
      <c r="C89" s="95">
        <f t="shared" ref="C89" si="53">+C90+C137+C167+C169+C181+C183</f>
        <v>0</v>
      </c>
      <c r="D89" s="95">
        <f t="shared" ref="D89:H89" si="54">+D90+D137+D167+D169+D181+D183</f>
        <v>620430810</v>
      </c>
      <c r="E89" s="95">
        <f t="shared" si="54"/>
        <v>619454420</v>
      </c>
      <c r="F89" s="95">
        <f t="shared" si="54"/>
        <v>0</v>
      </c>
      <c r="G89" s="95">
        <f t="shared" si="54"/>
        <v>619382665.88</v>
      </c>
      <c r="H89" s="95">
        <f t="shared" si="54"/>
        <v>55429792.830000006</v>
      </c>
    </row>
    <row r="90" spans="1:8" s="26" customFormat="1" ht="16.5" customHeight="1" x14ac:dyDescent="0.3">
      <c r="A90" s="17" t="s">
        <v>349</v>
      </c>
      <c r="B90" s="20" t="s">
        <v>332</v>
      </c>
      <c r="C90" s="88">
        <f t="shared" ref="C90" si="55">+C91+C101+C117+C133+C135</f>
        <v>0</v>
      </c>
      <c r="D90" s="88">
        <f t="shared" ref="D90:H90" si="56">+D91+D101+D117+D133+D135</f>
        <v>216847400</v>
      </c>
      <c r="E90" s="88">
        <f t="shared" si="56"/>
        <v>221323140</v>
      </c>
      <c r="F90" s="88">
        <f t="shared" si="56"/>
        <v>0</v>
      </c>
      <c r="G90" s="88">
        <f t="shared" si="56"/>
        <v>221321959.69999999</v>
      </c>
      <c r="H90" s="88">
        <f t="shared" si="56"/>
        <v>11133382.870000001</v>
      </c>
    </row>
    <row r="91" spans="1:8" s="26" customFormat="1" ht="16.5" customHeight="1" x14ac:dyDescent="0.3">
      <c r="A91" s="22" t="s">
        <v>351</v>
      </c>
      <c r="B91" s="20" t="s">
        <v>334</v>
      </c>
      <c r="C91" s="87">
        <f t="shared" ref="C91" si="57">+C92+C98+C99+C93+C94</f>
        <v>0</v>
      </c>
      <c r="D91" s="87">
        <f t="shared" ref="D91:H91" si="58">+D92+D98+D99+D93+D94</f>
        <v>93208910</v>
      </c>
      <c r="E91" s="87">
        <f t="shared" si="58"/>
        <v>93798530</v>
      </c>
      <c r="F91" s="87">
        <f t="shared" si="58"/>
        <v>0</v>
      </c>
      <c r="G91" s="87">
        <f t="shared" si="58"/>
        <v>93797445.099999994</v>
      </c>
      <c r="H91" s="87">
        <f t="shared" si="58"/>
        <v>336776.44000000006</v>
      </c>
    </row>
    <row r="92" spans="1:8" s="26" customFormat="1" ht="16.5" customHeight="1" x14ac:dyDescent="0.3">
      <c r="A92" s="22"/>
      <c r="B92" s="23" t="s">
        <v>336</v>
      </c>
      <c r="C92" s="89"/>
      <c r="D92" s="90">
        <v>87628080</v>
      </c>
      <c r="E92" s="90">
        <v>88935540</v>
      </c>
      <c r="F92" s="90"/>
      <c r="G92" s="45">
        <f>81298470+7637070</f>
        <v>88935540</v>
      </c>
      <c r="H92" s="45">
        <v>0</v>
      </c>
    </row>
    <row r="93" spans="1:8" s="26" customFormat="1" ht="16.5" customHeight="1" x14ac:dyDescent="0.3">
      <c r="A93" s="22"/>
      <c r="B93" s="23" t="s">
        <v>338</v>
      </c>
      <c r="C93" s="89"/>
      <c r="D93" s="90"/>
      <c r="E93" s="90"/>
      <c r="F93" s="90"/>
      <c r="G93" s="45"/>
      <c r="H93" s="45"/>
    </row>
    <row r="94" spans="1:8" s="26" customFormat="1" ht="16.5" customHeight="1" x14ac:dyDescent="0.3">
      <c r="A94" s="22"/>
      <c r="B94" s="100" t="s">
        <v>479</v>
      </c>
      <c r="C94" s="89">
        <f>C95+C96+C97</f>
        <v>0</v>
      </c>
      <c r="D94" s="89">
        <f t="shared" ref="D94:H94" si="59">D95+D96+D97</f>
        <v>3429770</v>
      </c>
      <c r="E94" s="89">
        <f t="shared" si="59"/>
        <v>2717580</v>
      </c>
      <c r="F94" s="89">
        <f t="shared" si="59"/>
        <v>0</v>
      </c>
      <c r="G94" s="89">
        <f t="shared" si="59"/>
        <v>2716765.1</v>
      </c>
      <c r="H94" s="89">
        <f t="shared" si="59"/>
        <v>15825.720000000001</v>
      </c>
    </row>
    <row r="95" spans="1:8" s="26" customFormat="1" ht="30" x14ac:dyDescent="0.3">
      <c r="A95" s="22"/>
      <c r="B95" s="23" t="s">
        <v>480</v>
      </c>
      <c r="C95" s="89"/>
      <c r="D95" s="90">
        <v>3316850</v>
      </c>
      <c r="E95" s="90">
        <v>2625520</v>
      </c>
      <c r="F95" s="90"/>
      <c r="G95" s="45">
        <f>2325312.28+300196.62</f>
        <v>2625508.9</v>
      </c>
      <c r="H95" s="45">
        <v>0</v>
      </c>
    </row>
    <row r="96" spans="1:8" s="26" customFormat="1" ht="60" x14ac:dyDescent="0.3">
      <c r="A96" s="22"/>
      <c r="B96" s="23" t="s">
        <v>481</v>
      </c>
      <c r="C96" s="89"/>
      <c r="D96" s="90">
        <v>64010</v>
      </c>
      <c r="E96" s="90">
        <v>51490</v>
      </c>
      <c r="F96" s="90"/>
      <c r="G96" s="45">
        <f>39173.82+4896.66+6615.72</f>
        <v>50686.2</v>
      </c>
      <c r="H96" s="45">
        <v>6615.72</v>
      </c>
    </row>
    <row r="97" spans="1:8" s="26" customFormat="1" ht="45" x14ac:dyDescent="0.3">
      <c r="A97" s="22"/>
      <c r="B97" s="23" t="s">
        <v>482</v>
      </c>
      <c r="C97" s="89"/>
      <c r="D97" s="90">
        <v>48910</v>
      </c>
      <c r="E97" s="90">
        <v>40570</v>
      </c>
      <c r="F97" s="90"/>
      <c r="G97" s="45">
        <f>31360+9210</f>
        <v>40570</v>
      </c>
      <c r="H97" s="45">
        <v>9210</v>
      </c>
    </row>
    <row r="98" spans="1:8" s="26" customFormat="1" ht="16.5" customHeight="1" x14ac:dyDescent="0.3">
      <c r="A98" s="22"/>
      <c r="B98" s="23" t="s">
        <v>341</v>
      </c>
      <c r="C98" s="89"/>
      <c r="D98" s="90">
        <v>195410</v>
      </c>
      <c r="E98" s="90">
        <v>195410</v>
      </c>
      <c r="F98" s="90"/>
      <c r="G98" s="45">
        <f>143769.34+35973.77+15666.89</f>
        <v>195410</v>
      </c>
      <c r="H98" s="45">
        <v>15666.89</v>
      </c>
    </row>
    <row r="99" spans="1:8" s="26" customFormat="1" ht="45" x14ac:dyDescent="0.3">
      <c r="A99" s="22"/>
      <c r="B99" s="23" t="s">
        <v>343</v>
      </c>
      <c r="C99" s="89"/>
      <c r="D99" s="90">
        <v>1955650</v>
      </c>
      <c r="E99" s="90">
        <v>1950000</v>
      </c>
      <c r="F99" s="90"/>
      <c r="G99" s="45">
        <f>1644446.17+305283.83</f>
        <v>1949730</v>
      </c>
      <c r="H99" s="45">
        <v>305283.83</v>
      </c>
    </row>
    <row r="100" spans="1:8" x14ac:dyDescent="0.3">
      <c r="A100" s="22"/>
      <c r="B100" s="24" t="s">
        <v>328</v>
      </c>
      <c r="C100" s="89"/>
      <c r="D100" s="90"/>
      <c r="E100" s="90"/>
      <c r="F100" s="90"/>
      <c r="G100" s="45">
        <f>-849.23-609.97</f>
        <v>-1459.2</v>
      </c>
      <c r="H100" s="45">
        <v>-609.97</v>
      </c>
    </row>
    <row r="101" spans="1:8" ht="30" x14ac:dyDescent="0.3">
      <c r="A101" s="22" t="s">
        <v>359</v>
      </c>
      <c r="B101" s="20" t="s">
        <v>345</v>
      </c>
      <c r="C101" s="89">
        <f t="shared" ref="C101:H101" si="60">C102+C103+C104+C105+C106+C107+C109+C108+C110</f>
        <v>0</v>
      </c>
      <c r="D101" s="89">
        <f t="shared" si="60"/>
        <v>92661840</v>
      </c>
      <c r="E101" s="89">
        <f t="shared" si="60"/>
        <v>96878550</v>
      </c>
      <c r="F101" s="89">
        <f t="shared" si="60"/>
        <v>0</v>
      </c>
      <c r="G101" s="89">
        <f t="shared" si="60"/>
        <v>96878490.75</v>
      </c>
      <c r="H101" s="89">
        <f t="shared" si="60"/>
        <v>8251890.040000001</v>
      </c>
    </row>
    <row r="102" spans="1:8" ht="16.5" customHeight="1" x14ac:dyDescent="0.3">
      <c r="A102" s="22"/>
      <c r="B102" s="23" t="s">
        <v>346</v>
      </c>
      <c r="C102" s="89"/>
      <c r="D102" s="90">
        <v>1085140</v>
      </c>
      <c r="E102" s="90">
        <v>994960</v>
      </c>
      <c r="F102" s="90"/>
      <c r="G102" s="45">
        <f>840430+75800+78730</f>
        <v>994960</v>
      </c>
      <c r="H102" s="45">
        <v>78730</v>
      </c>
    </row>
    <row r="103" spans="1:8" x14ac:dyDescent="0.3">
      <c r="A103" s="22"/>
      <c r="B103" s="23" t="s">
        <v>348</v>
      </c>
      <c r="C103" s="89"/>
      <c r="D103" s="90"/>
      <c r="E103" s="90"/>
      <c r="F103" s="90"/>
      <c r="G103" s="45"/>
      <c r="H103" s="45"/>
    </row>
    <row r="104" spans="1:8" s="19" customFormat="1" ht="16.5" customHeight="1" x14ac:dyDescent="0.3">
      <c r="A104" s="22"/>
      <c r="B104" s="23" t="s">
        <v>350</v>
      </c>
      <c r="C104" s="89"/>
      <c r="D104" s="90">
        <v>98060</v>
      </c>
      <c r="E104" s="90">
        <v>58570</v>
      </c>
      <c r="F104" s="90"/>
      <c r="G104" s="45">
        <f>44269.18+14300.82</f>
        <v>58570</v>
      </c>
      <c r="H104" s="45">
        <v>14300.82</v>
      </c>
    </row>
    <row r="105" spans="1:8" ht="16.5" customHeight="1" x14ac:dyDescent="0.3">
      <c r="A105" s="22"/>
      <c r="B105" s="23" t="s">
        <v>352</v>
      </c>
      <c r="C105" s="89"/>
      <c r="D105" s="90">
        <v>43709010</v>
      </c>
      <c r="E105" s="90">
        <v>44586760</v>
      </c>
      <c r="F105" s="90"/>
      <c r="G105" s="45">
        <f>37774352.14+2105807.86+4706589.72</f>
        <v>44586749.719999999</v>
      </c>
      <c r="H105" s="45">
        <v>4706589.72</v>
      </c>
    </row>
    <row r="106" spans="1:8" x14ac:dyDescent="0.3">
      <c r="A106" s="22"/>
      <c r="B106" s="34" t="s">
        <v>353</v>
      </c>
      <c r="C106" s="89"/>
      <c r="D106" s="90">
        <v>51290</v>
      </c>
      <c r="E106" s="90">
        <v>47410</v>
      </c>
      <c r="F106" s="90"/>
      <c r="G106" s="45">
        <f>30058.18+12896.49+4438.9</f>
        <v>47393.57</v>
      </c>
      <c r="H106" s="45">
        <v>4438.8999999999996</v>
      </c>
    </row>
    <row r="107" spans="1:8" ht="30" x14ac:dyDescent="0.3">
      <c r="A107" s="22"/>
      <c r="B107" s="23" t="s">
        <v>354</v>
      </c>
      <c r="C107" s="89"/>
      <c r="D107" s="90">
        <v>647970</v>
      </c>
      <c r="E107" s="90">
        <v>692890</v>
      </c>
      <c r="F107" s="90"/>
      <c r="G107" s="45">
        <f>620354.01+38604.51+33912.62</f>
        <v>692871.14</v>
      </c>
      <c r="H107" s="45">
        <v>33912.620000000003</v>
      </c>
    </row>
    <row r="108" spans="1:8" ht="16.5" customHeight="1" x14ac:dyDescent="0.3">
      <c r="A108" s="22"/>
      <c r="B108" s="35" t="s">
        <v>355</v>
      </c>
      <c r="C108" s="89"/>
      <c r="D108" s="90"/>
      <c r="E108" s="90"/>
      <c r="F108" s="90"/>
      <c r="G108" s="45"/>
      <c r="H108" s="45"/>
    </row>
    <row r="109" spans="1:8" x14ac:dyDescent="0.3">
      <c r="A109" s="22"/>
      <c r="B109" s="35" t="s">
        <v>356</v>
      </c>
      <c r="C109" s="89"/>
      <c r="D109" s="90">
        <v>27499990</v>
      </c>
      <c r="E109" s="90">
        <v>30281160</v>
      </c>
      <c r="F109" s="90"/>
      <c r="G109" s="96">
        <f>25935545.97+2313051.89+2032548.46</f>
        <v>30281146.32</v>
      </c>
      <c r="H109" s="96">
        <v>2032548.46</v>
      </c>
    </row>
    <row r="110" spans="1:8" ht="30" x14ac:dyDescent="0.3">
      <c r="A110" s="22"/>
      <c r="B110" s="36" t="s">
        <v>357</v>
      </c>
      <c r="C110" s="89">
        <f>C111+C112+C115+C113+C114</f>
        <v>0</v>
      </c>
      <c r="D110" s="89">
        <f t="shared" ref="D110:H110" si="61">D111+D112+D115+D113+D114</f>
        <v>19570380</v>
      </c>
      <c r="E110" s="89">
        <f t="shared" si="61"/>
        <v>20216800</v>
      </c>
      <c r="F110" s="89">
        <f t="shared" si="61"/>
        <v>0</v>
      </c>
      <c r="G110" s="89">
        <f t="shared" si="61"/>
        <v>20216800</v>
      </c>
      <c r="H110" s="89">
        <f t="shared" si="61"/>
        <v>1381369.52</v>
      </c>
    </row>
    <row r="111" spans="1:8" ht="16.5" customHeight="1" x14ac:dyDescent="0.3">
      <c r="A111" s="22"/>
      <c r="B111" s="35" t="s">
        <v>358</v>
      </c>
      <c r="C111" s="89"/>
      <c r="D111" s="90">
        <v>19570380</v>
      </c>
      <c r="E111" s="90">
        <v>20216800</v>
      </c>
      <c r="F111" s="90"/>
      <c r="G111" s="45">
        <f>16971137.29+1864293.19+1381369.52</f>
        <v>20216800</v>
      </c>
      <c r="H111" s="45">
        <v>1381369.52</v>
      </c>
    </row>
    <row r="112" spans="1:8" x14ac:dyDescent="0.3">
      <c r="A112" s="22"/>
      <c r="B112" s="35" t="s">
        <v>494</v>
      </c>
      <c r="C112" s="89"/>
      <c r="D112" s="90"/>
      <c r="E112" s="90"/>
      <c r="F112" s="90"/>
      <c r="G112" s="45"/>
      <c r="H112" s="45"/>
    </row>
    <row r="113" spans="1:8" ht="30" x14ac:dyDescent="0.3">
      <c r="A113" s="22"/>
      <c r="B113" s="35" t="s">
        <v>495</v>
      </c>
      <c r="C113" s="89"/>
      <c r="D113" s="90"/>
      <c r="E113" s="90"/>
      <c r="F113" s="90"/>
      <c r="G113" s="45"/>
      <c r="H113" s="45"/>
    </row>
    <row r="114" spans="1:8" x14ac:dyDescent="0.3">
      <c r="A114" s="22"/>
      <c r="B114" s="35" t="s">
        <v>501</v>
      </c>
      <c r="C114" s="89"/>
      <c r="D114" s="90"/>
      <c r="E114" s="90"/>
      <c r="F114" s="90"/>
      <c r="G114" s="45"/>
      <c r="H114" s="45"/>
    </row>
    <row r="115" spans="1:8" x14ac:dyDescent="0.3">
      <c r="A115" s="22"/>
      <c r="B115" s="35" t="s">
        <v>360</v>
      </c>
      <c r="C115" s="89"/>
      <c r="D115" s="90"/>
      <c r="E115" s="90"/>
      <c r="F115" s="90"/>
      <c r="G115" s="45"/>
      <c r="H115" s="45"/>
    </row>
    <row r="116" spans="1:8" x14ac:dyDescent="0.3">
      <c r="A116" s="22"/>
      <c r="B116" s="24" t="s">
        <v>328</v>
      </c>
      <c r="C116" s="89"/>
      <c r="D116" s="90"/>
      <c r="E116" s="90"/>
      <c r="F116" s="90"/>
      <c r="G116" s="45">
        <f>-26335.72-1454.66</f>
        <v>-27790.38</v>
      </c>
      <c r="H116" s="45">
        <v>-1454.66</v>
      </c>
    </row>
    <row r="117" spans="1:8" ht="36" customHeight="1" x14ac:dyDescent="0.3">
      <c r="A117" s="17" t="s">
        <v>370</v>
      </c>
      <c r="B117" s="20" t="s">
        <v>361</v>
      </c>
      <c r="C117" s="89">
        <f t="shared" ref="C117:H117" si="62">C118+C119+C120+C121+C122+C123+C124+C125+C126+C127</f>
        <v>0</v>
      </c>
      <c r="D117" s="89">
        <f t="shared" si="62"/>
        <v>4019740</v>
      </c>
      <c r="E117" s="89">
        <f t="shared" si="62"/>
        <v>4154060</v>
      </c>
      <c r="F117" s="89">
        <f t="shared" si="62"/>
        <v>0</v>
      </c>
      <c r="G117" s="89">
        <f t="shared" si="62"/>
        <v>4154023.85</v>
      </c>
      <c r="H117" s="89">
        <f t="shared" si="62"/>
        <v>335168.96000000002</v>
      </c>
    </row>
    <row r="118" spans="1:8" x14ac:dyDescent="0.3">
      <c r="A118" s="22"/>
      <c r="B118" s="23" t="s">
        <v>352</v>
      </c>
      <c r="C118" s="89"/>
      <c r="D118" s="90">
        <v>2448250</v>
      </c>
      <c r="E118" s="90">
        <v>2479230</v>
      </c>
      <c r="F118" s="90"/>
      <c r="G118" s="45">
        <f>2093998.23+184968+200244</f>
        <v>2479210.23</v>
      </c>
      <c r="H118" s="45">
        <v>200244</v>
      </c>
    </row>
    <row r="119" spans="1:8" ht="30" x14ac:dyDescent="0.3">
      <c r="A119" s="22"/>
      <c r="B119" s="37" t="s">
        <v>362</v>
      </c>
      <c r="C119" s="89"/>
      <c r="D119" s="90">
        <v>318910</v>
      </c>
      <c r="E119" s="90">
        <v>242050</v>
      </c>
      <c r="F119" s="90"/>
      <c r="G119" s="45">
        <f>181062.9+60974.41</f>
        <v>242037.31</v>
      </c>
      <c r="H119" s="45">
        <v>60974.41</v>
      </c>
    </row>
    <row r="120" spans="1:8" ht="16.5" customHeight="1" x14ac:dyDescent="0.3">
      <c r="A120" s="22"/>
      <c r="B120" s="38" t="s">
        <v>363</v>
      </c>
      <c r="C120" s="89"/>
      <c r="D120" s="90">
        <v>1252580</v>
      </c>
      <c r="E120" s="90">
        <v>1432780</v>
      </c>
      <c r="F120" s="90"/>
      <c r="G120" s="45">
        <f>1291941.16+66884.6+73950.55</f>
        <v>1432776.31</v>
      </c>
      <c r="H120" s="45">
        <v>73950.55</v>
      </c>
    </row>
    <row r="121" spans="1:8" ht="20.25" customHeight="1" x14ac:dyDescent="0.3">
      <c r="A121" s="22"/>
      <c r="B121" s="38" t="s">
        <v>364</v>
      </c>
      <c r="C121" s="89"/>
      <c r="D121" s="90"/>
      <c r="E121" s="90"/>
      <c r="F121" s="90"/>
      <c r="G121" s="45"/>
      <c r="H121" s="45"/>
    </row>
    <row r="122" spans="1:8" ht="16.5" customHeight="1" x14ac:dyDescent="0.3">
      <c r="A122" s="22"/>
      <c r="B122" s="38" t="s">
        <v>365</v>
      </c>
      <c r="C122" s="89"/>
      <c r="D122" s="90"/>
      <c r="E122" s="90"/>
      <c r="F122" s="90"/>
      <c r="G122" s="45"/>
      <c r="H122" s="45"/>
    </row>
    <row r="123" spans="1:8" ht="16.5" customHeight="1" x14ac:dyDescent="0.3">
      <c r="A123" s="22"/>
      <c r="B123" s="23" t="s">
        <v>346</v>
      </c>
      <c r="C123" s="89"/>
      <c r="D123" s="90"/>
      <c r="E123" s="90"/>
      <c r="F123" s="90"/>
      <c r="G123" s="45"/>
      <c r="H123" s="45"/>
    </row>
    <row r="124" spans="1:8" ht="16.5" customHeight="1" x14ac:dyDescent="0.3">
      <c r="A124" s="22"/>
      <c r="B124" s="38" t="s">
        <v>366</v>
      </c>
      <c r="C124" s="89"/>
      <c r="D124" s="90"/>
      <c r="E124" s="90"/>
      <c r="F124" s="90"/>
      <c r="G124" s="97"/>
      <c r="H124" s="97"/>
    </row>
    <row r="125" spans="1:8" x14ac:dyDescent="0.3">
      <c r="A125" s="22"/>
      <c r="B125" s="39" t="s">
        <v>367</v>
      </c>
      <c r="C125" s="89"/>
      <c r="D125" s="90"/>
      <c r="E125" s="90"/>
      <c r="F125" s="90"/>
      <c r="G125" s="97"/>
      <c r="H125" s="97"/>
    </row>
    <row r="126" spans="1:8" s="19" customFormat="1" ht="30" x14ac:dyDescent="0.3">
      <c r="A126" s="22"/>
      <c r="B126" s="39" t="s">
        <v>368</v>
      </c>
      <c r="C126" s="89"/>
      <c r="D126" s="90"/>
      <c r="E126" s="90"/>
      <c r="F126" s="90"/>
      <c r="G126" s="97"/>
      <c r="H126" s="97"/>
    </row>
    <row r="127" spans="1:8" s="19" customFormat="1" ht="30" x14ac:dyDescent="0.3">
      <c r="A127" s="22"/>
      <c r="B127" s="40" t="s">
        <v>369</v>
      </c>
      <c r="C127" s="89">
        <f t="shared" ref="C127:H127" si="63">C128+C129+C130+C131</f>
        <v>0</v>
      </c>
      <c r="D127" s="89">
        <f t="shared" si="63"/>
        <v>0</v>
      </c>
      <c r="E127" s="89">
        <f t="shared" si="63"/>
        <v>0</v>
      </c>
      <c r="F127" s="89">
        <f t="shared" si="63"/>
        <v>0</v>
      </c>
      <c r="G127" s="89">
        <f t="shared" si="63"/>
        <v>0</v>
      </c>
      <c r="H127" s="89">
        <f t="shared" si="63"/>
        <v>0</v>
      </c>
    </row>
    <row r="128" spans="1:8" s="19" customFormat="1" x14ac:dyDescent="0.3">
      <c r="A128" s="22"/>
      <c r="B128" s="41" t="s">
        <v>371</v>
      </c>
      <c r="C128" s="89"/>
      <c r="D128" s="90"/>
      <c r="E128" s="90"/>
      <c r="F128" s="90"/>
      <c r="G128" s="97"/>
      <c r="H128" s="97"/>
    </row>
    <row r="129" spans="1:8" s="19" customFormat="1" ht="30" x14ac:dyDescent="0.3">
      <c r="A129" s="22"/>
      <c r="B129" s="41" t="s">
        <v>372</v>
      </c>
      <c r="C129" s="89"/>
      <c r="D129" s="90"/>
      <c r="E129" s="90"/>
      <c r="F129" s="90"/>
      <c r="G129" s="97"/>
      <c r="H129" s="97"/>
    </row>
    <row r="130" spans="1:8" s="19" customFormat="1" ht="30" x14ac:dyDescent="0.3">
      <c r="A130" s="22"/>
      <c r="B130" s="41" t="s">
        <v>373</v>
      </c>
      <c r="C130" s="89"/>
      <c r="D130" s="90"/>
      <c r="E130" s="90"/>
      <c r="F130" s="90"/>
      <c r="G130" s="97"/>
      <c r="H130" s="97"/>
    </row>
    <row r="131" spans="1:8" s="19" customFormat="1" ht="30" x14ac:dyDescent="0.3">
      <c r="A131" s="22"/>
      <c r="B131" s="41" t="s">
        <v>374</v>
      </c>
      <c r="C131" s="89"/>
      <c r="D131" s="90"/>
      <c r="E131" s="90"/>
      <c r="F131" s="90"/>
      <c r="G131" s="97"/>
      <c r="H131" s="97"/>
    </row>
    <row r="132" spans="1:8" s="19" customFormat="1" x14ac:dyDescent="0.3">
      <c r="A132" s="22"/>
      <c r="B132" s="24" t="s">
        <v>328</v>
      </c>
      <c r="C132" s="89"/>
      <c r="D132" s="90"/>
      <c r="E132" s="90"/>
      <c r="F132" s="90"/>
      <c r="G132" s="97"/>
      <c r="H132" s="97"/>
    </row>
    <row r="133" spans="1:8" s="19" customFormat="1" x14ac:dyDescent="0.3">
      <c r="A133" s="22" t="s">
        <v>383</v>
      </c>
      <c r="B133" s="24" t="s">
        <v>375</v>
      </c>
      <c r="C133" s="87"/>
      <c r="D133" s="90">
        <v>23045910</v>
      </c>
      <c r="E133" s="90">
        <v>22663000</v>
      </c>
      <c r="F133" s="90"/>
      <c r="G133" s="45">
        <f>20802848+1860152</f>
        <v>22663000</v>
      </c>
      <c r="H133" s="45">
        <v>1860152</v>
      </c>
    </row>
    <row r="134" spans="1:8" s="19" customFormat="1" ht="16.5" customHeight="1" x14ac:dyDescent="0.3">
      <c r="A134" s="22"/>
      <c r="B134" s="24" t="s">
        <v>328</v>
      </c>
      <c r="C134" s="87"/>
      <c r="D134" s="90"/>
      <c r="E134" s="90"/>
      <c r="F134" s="90"/>
      <c r="G134" s="45"/>
      <c r="H134" s="45"/>
    </row>
    <row r="135" spans="1:8" s="19" customFormat="1" ht="16.5" customHeight="1" x14ac:dyDescent="0.3">
      <c r="A135" s="22" t="s">
        <v>384</v>
      </c>
      <c r="B135" s="24" t="s">
        <v>376</v>
      </c>
      <c r="C135" s="89"/>
      <c r="D135" s="90">
        <v>3911000</v>
      </c>
      <c r="E135" s="90">
        <v>3829000</v>
      </c>
      <c r="F135" s="90"/>
      <c r="G135" s="94">
        <f>3479604.57+349395.43</f>
        <v>3829000</v>
      </c>
      <c r="H135" s="94">
        <v>349395.43</v>
      </c>
    </row>
    <row r="136" spans="1:8" s="19" customFormat="1" ht="16.5" customHeight="1" x14ac:dyDescent="0.3">
      <c r="A136" s="22"/>
      <c r="B136" s="24" t="s">
        <v>328</v>
      </c>
      <c r="C136" s="89"/>
      <c r="D136" s="90"/>
      <c r="E136" s="90"/>
      <c r="F136" s="90"/>
      <c r="G136" s="94"/>
      <c r="H136" s="94"/>
    </row>
    <row r="137" spans="1:8" ht="16.5" customHeight="1" x14ac:dyDescent="0.3">
      <c r="A137" s="17" t="s">
        <v>386</v>
      </c>
      <c r="B137" s="20" t="s">
        <v>377</v>
      </c>
      <c r="C137" s="88">
        <f t="shared" ref="C137" si="64">+C138+C146+C151+C155+C162</f>
        <v>0</v>
      </c>
      <c r="D137" s="88">
        <f t="shared" ref="D137:H137" si="65">+D138+D146+D151+D155+D162</f>
        <v>102196200</v>
      </c>
      <c r="E137" s="88">
        <f t="shared" si="65"/>
        <v>99870880</v>
      </c>
      <c r="F137" s="88">
        <f t="shared" si="65"/>
        <v>0</v>
      </c>
      <c r="G137" s="88">
        <f t="shared" si="65"/>
        <v>99819250</v>
      </c>
      <c r="H137" s="88">
        <f t="shared" si="65"/>
        <v>9926756.9399999995</v>
      </c>
    </row>
    <row r="138" spans="1:8" ht="16.5" customHeight="1" x14ac:dyDescent="0.3">
      <c r="A138" s="17" t="s">
        <v>388</v>
      </c>
      <c r="B138" s="20" t="s">
        <v>378</v>
      </c>
      <c r="C138" s="87">
        <f>+C139+C142+C143+C144</f>
        <v>0</v>
      </c>
      <c r="D138" s="87">
        <f t="shared" ref="D138:H138" si="66">+D139+D142+D143+D144</f>
        <v>58839170</v>
      </c>
      <c r="E138" s="87">
        <f t="shared" si="66"/>
        <v>57711940</v>
      </c>
      <c r="F138" s="87">
        <f t="shared" si="66"/>
        <v>0</v>
      </c>
      <c r="G138" s="87">
        <f t="shared" si="66"/>
        <v>57660390</v>
      </c>
      <c r="H138" s="87">
        <f t="shared" si="66"/>
        <v>5722346.0599999996</v>
      </c>
    </row>
    <row r="139" spans="1:8" s="19" customFormat="1" ht="16.5" customHeight="1" x14ac:dyDescent="0.3">
      <c r="A139" s="22"/>
      <c r="B139" s="42" t="s">
        <v>379</v>
      </c>
      <c r="C139" s="89"/>
      <c r="D139" s="90">
        <v>53486000</v>
      </c>
      <c r="E139" s="90">
        <v>52333000</v>
      </c>
      <c r="F139" s="90"/>
      <c r="G139" s="45">
        <f>43272385.6+4760528.34+4300086.06</f>
        <v>52333000</v>
      </c>
      <c r="H139" s="45">
        <v>4300086.0599999996</v>
      </c>
    </row>
    <row r="140" spans="1:8" s="19" customFormat="1" ht="16.5" customHeight="1" x14ac:dyDescent="0.3">
      <c r="A140" s="22"/>
      <c r="B140" s="85" t="s">
        <v>380</v>
      </c>
      <c r="C140" s="89"/>
      <c r="D140" s="90">
        <v>26486000</v>
      </c>
      <c r="E140" s="90">
        <v>25488581.870000001</v>
      </c>
      <c r="F140" s="90"/>
      <c r="G140" s="45">
        <f>21163875.47+2193113.68+2131592.72</f>
        <v>25488581.869999997</v>
      </c>
      <c r="H140" s="45">
        <v>2131592.7200000002</v>
      </c>
    </row>
    <row r="141" spans="1:8" s="19" customFormat="1" ht="16.5" customHeight="1" x14ac:dyDescent="0.3">
      <c r="A141" s="22"/>
      <c r="B141" s="85" t="s">
        <v>381</v>
      </c>
      <c r="C141" s="89"/>
      <c r="D141" s="90">
        <v>27000000</v>
      </c>
      <c r="E141" s="90">
        <v>26844418.129999999</v>
      </c>
      <c r="F141" s="90"/>
      <c r="G141" s="45">
        <f>22108510.13+2567414.66+2168493.34</f>
        <v>26844418.129999999</v>
      </c>
      <c r="H141" s="45">
        <v>2168493.34</v>
      </c>
    </row>
    <row r="142" spans="1:8" s="19" customFormat="1" ht="16.5" customHeight="1" x14ac:dyDescent="0.3">
      <c r="A142" s="22"/>
      <c r="B142" s="42" t="s">
        <v>382</v>
      </c>
      <c r="C142" s="89"/>
      <c r="D142" s="90">
        <v>2718470</v>
      </c>
      <c r="E142" s="90">
        <v>2758000</v>
      </c>
      <c r="F142" s="90"/>
      <c r="G142" s="23">
        <f>2245510.56+230939.44+230000</f>
        <v>2706450</v>
      </c>
      <c r="H142" s="23">
        <v>230000</v>
      </c>
    </row>
    <row r="143" spans="1:8" s="19" customFormat="1" ht="30" x14ac:dyDescent="0.3">
      <c r="A143" s="22"/>
      <c r="B143" s="42" t="s">
        <v>483</v>
      </c>
      <c r="C143" s="89"/>
      <c r="D143" s="90">
        <v>1978490</v>
      </c>
      <c r="E143" s="90">
        <v>2039730</v>
      </c>
      <c r="F143" s="90"/>
      <c r="G143" s="23">
        <f>1168230+871500</f>
        <v>2039730</v>
      </c>
      <c r="H143" s="23">
        <v>871500</v>
      </c>
    </row>
    <row r="144" spans="1:8" s="19" customFormat="1" ht="45" x14ac:dyDescent="0.3">
      <c r="A144" s="22"/>
      <c r="B144" s="42" t="s">
        <v>496</v>
      </c>
      <c r="C144" s="89"/>
      <c r="D144" s="90">
        <v>656210</v>
      </c>
      <c r="E144" s="90">
        <v>581210</v>
      </c>
      <c r="F144" s="90"/>
      <c r="G144" s="23">
        <f>260450+320760</f>
        <v>581210</v>
      </c>
      <c r="H144" s="23">
        <v>320760</v>
      </c>
    </row>
    <row r="145" spans="1:8" s="19" customFormat="1" ht="16.5" customHeight="1" x14ac:dyDescent="0.3">
      <c r="A145" s="22"/>
      <c r="B145" s="24" t="s">
        <v>328</v>
      </c>
      <c r="C145" s="89"/>
      <c r="D145" s="90"/>
      <c r="E145" s="90"/>
      <c r="F145" s="90"/>
      <c r="G145" s="23">
        <v>-1415.53</v>
      </c>
      <c r="H145" s="23"/>
    </row>
    <row r="146" spans="1:8" s="19" customFormat="1" ht="16.5" customHeight="1" x14ac:dyDescent="0.3">
      <c r="A146" s="22" t="s">
        <v>394</v>
      </c>
      <c r="B146" s="43" t="s">
        <v>497</v>
      </c>
      <c r="C146" s="89">
        <f>C147+C148+C149</f>
        <v>0</v>
      </c>
      <c r="D146" s="89">
        <f t="shared" ref="D146:H146" si="67">D147+D148+D149</f>
        <v>24345000</v>
      </c>
      <c r="E146" s="89">
        <f t="shared" si="67"/>
        <v>23525920</v>
      </c>
      <c r="F146" s="89">
        <f t="shared" si="67"/>
        <v>0</v>
      </c>
      <c r="G146" s="89">
        <f t="shared" si="67"/>
        <v>23525840</v>
      </c>
      <c r="H146" s="89">
        <f t="shared" si="67"/>
        <v>2203055.62</v>
      </c>
    </row>
    <row r="147" spans="1:8" s="19" customFormat="1" ht="16.5" customHeight="1" x14ac:dyDescent="0.3">
      <c r="A147" s="22"/>
      <c r="B147" s="101" t="s">
        <v>336</v>
      </c>
      <c r="C147" s="89"/>
      <c r="D147" s="90">
        <v>24345000</v>
      </c>
      <c r="E147" s="90">
        <v>23525920</v>
      </c>
      <c r="F147" s="90"/>
      <c r="G147" s="89">
        <f>21322784.38+2203055.62</f>
        <v>23525840</v>
      </c>
      <c r="H147" s="89">
        <v>2203055.62</v>
      </c>
    </row>
    <row r="148" spans="1:8" s="19" customFormat="1" ht="30" x14ac:dyDescent="0.3">
      <c r="A148" s="22"/>
      <c r="B148" s="101" t="s">
        <v>498</v>
      </c>
      <c r="C148" s="89"/>
      <c r="D148" s="90"/>
      <c r="E148" s="90"/>
      <c r="F148" s="90"/>
      <c r="G148" s="89"/>
      <c r="H148" s="89"/>
    </row>
    <row r="149" spans="1:8" s="19" customFormat="1" ht="75" x14ac:dyDescent="0.3">
      <c r="A149" s="22"/>
      <c r="B149" s="101" t="s">
        <v>506</v>
      </c>
      <c r="C149" s="89"/>
      <c r="D149" s="90"/>
      <c r="E149" s="90"/>
      <c r="F149" s="90"/>
      <c r="G149" s="89"/>
      <c r="H149" s="89"/>
    </row>
    <row r="150" spans="1:8" s="19" customFormat="1" ht="16.5" customHeight="1" x14ac:dyDescent="0.3">
      <c r="A150" s="22"/>
      <c r="B150" s="24" t="s">
        <v>328</v>
      </c>
      <c r="C150" s="89"/>
      <c r="D150" s="90"/>
      <c r="E150" s="90"/>
      <c r="F150" s="90"/>
      <c r="G150" s="23">
        <v>-459.59</v>
      </c>
      <c r="H150" s="23">
        <v>-459.59</v>
      </c>
    </row>
    <row r="151" spans="1:8" s="19" customFormat="1" ht="16.5" customHeight="1" x14ac:dyDescent="0.3">
      <c r="A151" s="17" t="s">
        <v>396</v>
      </c>
      <c r="B151" s="44" t="s">
        <v>385</v>
      </c>
      <c r="C151" s="89">
        <f t="shared" ref="C151:H151" si="68">+C152+C153</f>
        <v>0</v>
      </c>
      <c r="D151" s="89">
        <f t="shared" si="68"/>
        <v>696000</v>
      </c>
      <c r="E151" s="89">
        <f t="shared" si="68"/>
        <v>687300</v>
      </c>
      <c r="F151" s="89">
        <f t="shared" si="68"/>
        <v>0</v>
      </c>
      <c r="G151" s="89">
        <f t="shared" si="68"/>
        <v>687300</v>
      </c>
      <c r="H151" s="89">
        <f t="shared" si="68"/>
        <v>72542.2</v>
      </c>
    </row>
    <row r="152" spans="1:8" s="19" customFormat="1" ht="16.5" customHeight="1" x14ac:dyDescent="0.3">
      <c r="A152" s="22"/>
      <c r="B152" s="42" t="s">
        <v>379</v>
      </c>
      <c r="C152" s="89"/>
      <c r="D152" s="90">
        <v>696000</v>
      </c>
      <c r="E152" s="90">
        <v>687300</v>
      </c>
      <c r="F152" s="90"/>
      <c r="G152" s="45">
        <f>614757.8+72542.2</f>
        <v>687300</v>
      </c>
      <c r="H152" s="45">
        <v>72542.2</v>
      </c>
    </row>
    <row r="153" spans="1:8" s="19" customFormat="1" ht="16.5" customHeight="1" x14ac:dyDescent="0.3">
      <c r="A153" s="22"/>
      <c r="B153" s="42" t="s">
        <v>387</v>
      </c>
      <c r="C153" s="89"/>
      <c r="D153" s="90"/>
      <c r="E153" s="90"/>
      <c r="F153" s="90"/>
      <c r="G153" s="45"/>
      <c r="H153" s="45"/>
    </row>
    <row r="154" spans="1:8" ht="16.5" customHeight="1" x14ac:dyDescent="0.3">
      <c r="A154" s="22"/>
      <c r="B154" s="24" t="s">
        <v>328</v>
      </c>
      <c r="C154" s="89"/>
      <c r="D154" s="90"/>
      <c r="E154" s="90"/>
      <c r="F154" s="90"/>
      <c r="G154" s="45"/>
      <c r="H154" s="45"/>
    </row>
    <row r="155" spans="1:8" ht="16.5" customHeight="1" x14ac:dyDescent="0.3">
      <c r="A155" s="17" t="s">
        <v>398</v>
      </c>
      <c r="B155" s="44" t="s">
        <v>389</v>
      </c>
      <c r="C155" s="87">
        <f>+C156+C157+C158+C159+C160</f>
        <v>0</v>
      </c>
      <c r="D155" s="87">
        <f t="shared" ref="D155:H155" si="69">+D156+D157+D158+D159+D160</f>
        <v>16109030</v>
      </c>
      <c r="E155" s="87">
        <f t="shared" si="69"/>
        <v>15741970</v>
      </c>
      <c r="F155" s="87">
        <f t="shared" si="69"/>
        <v>0</v>
      </c>
      <c r="G155" s="87">
        <f t="shared" si="69"/>
        <v>15741970</v>
      </c>
      <c r="H155" s="87">
        <f t="shared" si="69"/>
        <v>1739813.06</v>
      </c>
    </row>
    <row r="156" spans="1:8" x14ac:dyDescent="0.3">
      <c r="A156" s="22"/>
      <c r="B156" s="23" t="s">
        <v>390</v>
      </c>
      <c r="C156" s="89"/>
      <c r="D156" s="90">
        <v>16068630</v>
      </c>
      <c r="E156" s="90">
        <v>15704450</v>
      </c>
      <c r="F156" s="90"/>
      <c r="G156" s="45">
        <f>12616752.34+1350204.6+1737493.06</f>
        <v>15704450</v>
      </c>
      <c r="H156" s="45">
        <v>1737493.06</v>
      </c>
    </row>
    <row r="157" spans="1:8" ht="30" x14ac:dyDescent="0.3">
      <c r="A157" s="22"/>
      <c r="B157" s="23" t="s">
        <v>391</v>
      </c>
      <c r="C157" s="89"/>
      <c r="D157" s="90"/>
      <c r="E157" s="90"/>
      <c r="F157" s="90"/>
      <c r="G157" s="45"/>
      <c r="H157" s="45"/>
    </row>
    <row r="158" spans="1:8" ht="30" x14ac:dyDescent="0.3">
      <c r="A158" s="22"/>
      <c r="B158" s="23" t="s">
        <v>392</v>
      </c>
      <c r="C158" s="89"/>
      <c r="D158" s="90">
        <v>40400</v>
      </c>
      <c r="E158" s="90">
        <v>37520</v>
      </c>
      <c r="F158" s="90"/>
      <c r="G158" s="45">
        <f>32700+2500+2320</f>
        <v>37520</v>
      </c>
      <c r="H158" s="45">
        <v>2320</v>
      </c>
    </row>
    <row r="159" spans="1:8" s="19" customFormat="1" ht="30" x14ac:dyDescent="0.3">
      <c r="A159" s="22"/>
      <c r="B159" s="23" t="s">
        <v>393</v>
      </c>
      <c r="C159" s="89"/>
      <c r="D159" s="90"/>
      <c r="E159" s="90"/>
      <c r="F159" s="90"/>
      <c r="G159" s="45"/>
      <c r="H159" s="45"/>
    </row>
    <row r="160" spans="1:8" s="19" customFormat="1" ht="30" x14ac:dyDescent="0.3">
      <c r="A160" s="22"/>
      <c r="B160" s="23" t="s">
        <v>498</v>
      </c>
      <c r="C160" s="89"/>
      <c r="D160" s="90"/>
      <c r="E160" s="90"/>
      <c r="F160" s="90"/>
      <c r="G160" s="45"/>
      <c r="H160" s="45"/>
    </row>
    <row r="161" spans="1:8" x14ac:dyDescent="0.3">
      <c r="A161" s="22"/>
      <c r="B161" s="24" t="s">
        <v>328</v>
      </c>
      <c r="C161" s="89"/>
      <c r="D161" s="90"/>
      <c r="E161" s="90"/>
      <c r="F161" s="90"/>
      <c r="G161" s="45">
        <v>-104.87</v>
      </c>
      <c r="H161" s="45"/>
    </row>
    <row r="162" spans="1:8" ht="16.5" customHeight="1" x14ac:dyDescent="0.3">
      <c r="A162" s="17" t="s">
        <v>403</v>
      </c>
      <c r="B162" s="44" t="s">
        <v>395</v>
      </c>
      <c r="C162" s="89">
        <f>+C163+C164+C165</f>
        <v>0</v>
      </c>
      <c r="D162" s="89">
        <f t="shared" ref="D162:H162" si="70">+D163+D164+D165</f>
        <v>2207000</v>
      </c>
      <c r="E162" s="89">
        <f t="shared" si="70"/>
        <v>2203750</v>
      </c>
      <c r="F162" s="89">
        <f t="shared" si="70"/>
        <v>0</v>
      </c>
      <c r="G162" s="89">
        <f t="shared" si="70"/>
        <v>2203750</v>
      </c>
      <c r="H162" s="89">
        <f t="shared" si="70"/>
        <v>189000</v>
      </c>
    </row>
    <row r="163" spans="1:8" ht="16.5" customHeight="1" x14ac:dyDescent="0.3">
      <c r="A163" s="17"/>
      <c r="B163" s="42" t="s">
        <v>379</v>
      </c>
      <c r="C163" s="89"/>
      <c r="D163" s="90">
        <v>2207000</v>
      </c>
      <c r="E163" s="90">
        <v>2203750</v>
      </c>
      <c r="F163" s="90"/>
      <c r="G163" s="45">
        <f>2014750+189000</f>
        <v>2203750</v>
      </c>
      <c r="H163" s="45">
        <v>189000</v>
      </c>
    </row>
    <row r="164" spans="1:8" ht="16.5" customHeight="1" x14ac:dyDescent="0.3">
      <c r="A164" s="22"/>
      <c r="B164" s="42" t="s">
        <v>387</v>
      </c>
      <c r="C164" s="89"/>
      <c r="D164" s="90"/>
      <c r="E164" s="90"/>
      <c r="F164" s="90"/>
      <c r="G164" s="45"/>
      <c r="H164" s="45"/>
    </row>
    <row r="165" spans="1:8" ht="30" x14ac:dyDescent="0.3">
      <c r="A165" s="22"/>
      <c r="B165" s="42" t="s">
        <v>498</v>
      </c>
      <c r="C165" s="89"/>
      <c r="D165" s="90"/>
      <c r="E165" s="90"/>
      <c r="F165" s="90"/>
      <c r="G165" s="45"/>
      <c r="H165" s="45"/>
    </row>
    <row r="166" spans="1:8" ht="16.5" customHeight="1" x14ac:dyDescent="0.3">
      <c r="A166" s="22"/>
      <c r="B166" s="24" t="s">
        <v>328</v>
      </c>
      <c r="C166" s="89"/>
      <c r="D166" s="90"/>
      <c r="E166" s="90"/>
      <c r="F166" s="90"/>
      <c r="G166" s="45"/>
      <c r="H166" s="45"/>
    </row>
    <row r="167" spans="1:8" ht="16.5" customHeight="1" x14ac:dyDescent="0.3">
      <c r="A167" s="17" t="s">
        <v>406</v>
      </c>
      <c r="B167" s="24" t="s">
        <v>397</v>
      </c>
      <c r="C167" s="89"/>
      <c r="D167" s="90">
        <v>33000</v>
      </c>
      <c r="E167" s="90">
        <v>26000</v>
      </c>
      <c r="F167" s="90"/>
      <c r="G167" s="96">
        <f>19062.32+6937.68</f>
        <v>26000</v>
      </c>
      <c r="H167" s="96">
        <v>6937.68</v>
      </c>
    </row>
    <row r="168" spans="1:8" ht="16.5" customHeight="1" x14ac:dyDescent="0.3">
      <c r="A168" s="17"/>
      <c r="B168" s="24" t="s">
        <v>328</v>
      </c>
      <c r="C168" s="89"/>
      <c r="D168" s="90"/>
      <c r="E168" s="90"/>
      <c r="F168" s="90"/>
      <c r="G168" s="96"/>
      <c r="H168" s="96"/>
    </row>
    <row r="169" spans="1:8" ht="16.5" customHeight="1" x14ac:dyDescent="0.3">
      <c r="A169" s="17" t="s">
        <v>408</v>
      </c>
      <c r="B169" s="20" t="s">
        <v>399</v>
      </c>
      <c r="C169" s="88">
        <f t="shared" ref="C169" si="71">+C170+C177</f>
        <v>0</v>
      </c>
      <c r="D169" s="88">
        <f t="shared" ref="D169:H169" si="72">+D170+D177</f>
        <v>289475970</v>
      </c>
      <c r="E169" s="88">
        <f t="shared" si="72"/>
        <v>286392160</v>
      </c>
      <c r="F169" s="88">
        <f t="shared" si="72"/>
        <v>0</v>
      </c>
      <c r="G169" s="88">
        <f t="shared" si="72"/>
        <v>286392065</v>
      </c>
      <c r="H169" s="88">
        <f t="shared" si="72"/>
        <v>34361555.340000004</v>
      </c>
    </row>
    <row r="170" spans="1:8" ht="16.5" customHeight="1" x14ac:dyDescent="0.3">
      <c r="A170" s="22" t="s">
        <v>410</v>
      </c>
      <c r="B170" s="20" t="s">
        <v>400</v>
      </c>
      <c r="C170" s="89">
        <f>C171+C174+C173+C175+C172</f>
        <v>0</v>
      </c>
      <c r="D170" s="89">
        <f t="shared" ref="D170:H170" si="73">D171+D174+D173+D175+D172</f>
        <v>282460970</v>
      </c>
      <c r="E170" s="89">
        <f t="shared" si="73"/>
        <v>279657160</v>
      </c>
      <c r="F170" s="89">
        <f t="shared" si="73"/>
        <v>0</v>
      </c>
      <c r="G170" s="89">
        <f t="shared" si="73"/>
        <v>279657065</v>
      </c>
      <c r="H170" s="89">
        <f t="shared" si="73"/>
        <v>33961268.340000004</v>
      </c>
    </row>
    <row r="171" spans="1:8" x14ac:dyDescent="0.3">
      <c r="A171" s="22"/>
      <c r="B171" s="23" t="s">
        <v>336</v>
      </c>
      <c r="C171" s="89"/>
      <c r="D171" s="90">
        <v>281247260</v>
      </c>
      <c r="E171" s="90">
        <v>278443450</v>
      </c>
      <c r="F171" s="90"/>
      <c r="G171" s="45">
        <f>226464000+18419316.66+33560133.34</f>
        <v>278443450</v>
      </c>
      <c r="H171" s="45">
        <v>33560133.340000004</v>
      </c>
    </row>
    <row r="172" spans="1:8" ht="30" x14ac:dyDescent="0.3">
      <c r="A172" s="22"/>
      <c r="B172" s="23" t="s">
        <v>498</v>
      </c>
      <c r="C172" s="89"/>
      <c r="D172" s="90">
        <v>1213710</v>
      </c>
      <c r="E172" s="90">
        <v>1213710</v>
      </c>
      <c r="F172" s="90"/>
      <c r="G172" s="45">
        <f>719005+93475+401135</f>
        <v>1213615</v>
      </c>
      <c r="H172" s="45">
        <v>401135</v>
      </c>
    </row>
    <row r="173" spans="1:8" ht="45" x14ac:dyDescent="0.3">
      <c r="A173" s="22"/>
      <c r="B173" s="23" t="s">
        <v>401</v>
      </c>
      <c r="C173" s="89"/>
      <c r="D173" s="90"/>
      <c r="E173" s="90"/>
      <c r="F173" s="90"/>
      <c r="G173" s="45"/>
      <c r="H173" s="45"/>
    </row>
    <row r="174" spans="1:8" ht="30" x14ac:dyDescent="0.3">
      <c r="A174" s="22"/>
      <c r="B174" s="23" t="s">
        <v>402</v>
      </c>
      <c r="C174" s="89"/>
      <c r="D174" s="90"/>
      <c r="E174" s="90"/>
      <c r="F174" s="90"/>
      <c r="G174" s="96"/>
      <c r="H174" s="96"/>
    </row>
    <row r="175" spans="1:8" x14ac:dyDescent="0.3">
      <c r="A175" s="22"/>
      <c r="B175" s="47" t="s">
        <v>404</v>
      </c>
      <c r="C175" s="89"/>
      <c r="D175" s="90"/>
      <c r="E175" s="90"/>
      <c r="F175" s="90"/>
      <c r="G175" s="45"/>
      <c r="H175" s="45"/>
    </row>
    <row r="176" spans="1:8" x14ac:dyDescent="0.3">
      <c r="A176" s="22"/>
      <c r="B176" s="24" t="s">
        <v>328</v>
      </c>
      <c r="C176" s="89"/>
      <c r="D176" s="90"/>
      <c r="E176" s="90"/>
      <c r="F176" s="90"/>
      <c r="G176" s="45">
        <f>-58190.19-4918.24-29863.17</f>
        <v>-92971.6</v>
      </c>
      <c r="H176" s="45">
        <v>-29863.17</v>
      </c>
    </row>
    <row r="177" spans="1:8" ht="16.5" customHeight="1" x14ac:dyDescent="0.3">
      <c r="A177" s="22" t="s">
        <v>414</v>
      </c>
      <c r="B177" s="20" t="s">
        <v>405</v>
      </c>
      <c r="C177" s="89">
        <f t="shared" ref="C177:H177" si="74">C178+C179</f>
        <v>0</v>
      </c>
      <c r="D177" s="89">
        <f t="shared" si="74"/>
        <v>7015000</v>
      </c>
      <c r="E177" s="89">
        <f t="shared" si="74"/>
        <v>6735000</v>
      </c>
      <c r="F177" s="89">
        <f t="shared" si="74"/>
        <v>0</v>
      </c>
      <c r="G177" s="89">
        <f t="shared" si="74"/>
        <v>6735000</v>
      </c>
      <c r="H177" s="89">
        <f t="shared" si="74"/>
        <v>400287</v>
      </c>
    </row>
    <row r="178" spans="1:8" ht="16.5" customHeight="1" x14ac:dyDescent="0.3">
      <c r="A178" s="22"/>
      <c r="B178" s="23" t="s">
        <v>336</v>
      </c>
      <c r="C178" s="89"/>
      <c r="D178" s="90">
        <v>7015000</v>
      </c>
      <c r="E178" s="90">
        <v>6735000</v>
      </c>
      <c r="F178" s="90"/>
      <c r="G178" s="45">
        <f>6334713+400287</f>
        <v>6735000</v>
      </c>
      <c r="H178" s="45">
        <v>400287</v>
      </c>
    </row>
    <row r="179" spans="1:8" ht="16.5" customHeight="1" x14ac:dyDescent="0.3">
      <c r="A179" s="22"/>
      <c r="B179" s="48" t="s">
        <v>407</v>
      </c>
      <c r="C179" s="89"/>
      <c r="D179" s="90"/>
      <c r="E179" s="90"/>
      <c r="F179" s="90"/>
      <c r="G179" s="45"/>
      <c r="H179" s="45"/>
    </row>
    <row r="180" spans="1:8" ht="16.5" customHeight="1" x14ac:dyDescent="0.3">
      <c r="A180" s="22"/>
      <c r="B180" s="24" t="s">
        <v>328</v>
      </c>
      <c r="C180" s="89"/>
      <c r="D180" s="90"/>
      <c r="E180" s="90"/>
      <c r="F180" s="90"/>
      <c r="G180" s="45"/>
      <c r="H180" s="45"/>
    </row>
    <row r="181" spans="1:8" ht="16.5" customHeight="1" x14ac:dyDescent="0.3">
      <c r="A181" s="17" t="s">
        <v>417</v>
      </c>
      <c r="B181" s="24" t="s">
        <v>409</v>
      </c>
      <c r="C181" s="89"/>
      <c r="D181" s="90">
        <v>56000</v>
      </c>
      <c r="E181" s="90">
        <v>20000</v>
      </c>
      <c r="F181" s="90"/>
      <c r="G181" s="45">
        <v>1160</v>
      </c>
      <c r="H181" s="45">
        <v>1160</v>
      </c>
    </row>
    <row r="182" spans="1:8" ht="16.5" customHeight="1" x14ac:dyDescent="0.3">
      <c r="A182" s="17"/>
      <c r="B182" s="24" t="s">
        <v>328</v>
      </c>
      <c r="C182" s="89"/>
      <c r="D182" s="90"/>
      <c r="E182" s="90"/>
      <c r="F182" s="90"/>
      <c r="G182" s="45"/>
      <c r="H182" s="45"/>
    </row>
    <row r="183" spans="1:8" ht="16.5" customHeight="1" x14ac:dyDescent="0.3">
      <c r="A183" s="17" t="s">
        <v>418</v>
      </c>
      <c r="B183" s="24" t="s">
        <v>411</v>
      </c>
      <c r="C183" s="89"/>
      <c r="D183" s="90">
        <v>11822240</v>
      </c>
      <c r="E183" s="90">
        <v>11822240</v>
      </c>
      <c r="F183" s="90"/>
      <c r="G183" s="45">
        <v>11822231.18</v>
      </c>
      <c r="H183" s="45">
        <v>0</v>
      </c>
    </row>
    <row r="184" spans="1:8" ht="16.5" customHeight="1" x14ac:dyDescent="0.3">
      <c r="A184" s="17"/>
      <c r="B184" s="24" t="s">
        <v>328</v>
      </c>
      <c r="C184" s="89"/>
      <c r="D184" s="90"/>
      <c r="E184" s="90"/>
      <c r="F184" s="90"/>
      <c r="G184" s="45">
        <f>-146188.9-93689.13-80074.15</f>
        <v>-319952.18</v>
      </c>
      <c r="H184" s="45">
        <v>-80074.149999999994</v>
      </c>
    </row>
    <row r="185" spans="1:8" x14ac:dyDescent="0.3">
      <c r="A185" s="17"/>
      <c r="B185" s="20" t="s">
        <v>412</v>
      </c>
      <c r="C185" s="89">
        <f t="shared" ref="C185" si="75">C88+C100+C116+C132+C134+C136+C145+C150+C154+C161+C166+C168+C176+C180+C182+C184</f>
        <v>0</v>
      </c>
      <c r="D185" s="89">
        <f t="shared" ref="D185:H185" si="76">D88+D100+D116+D132+D134+D136+D145+D150+D154+D161+D166+D168+D176+D180+D182+D184</f>
        <v>0</v>
      </c>
      <c r="E185" s="89">
        <f t="shared" si="76"/>
        <v>0</v>
      </c>
      <c r="F185" s="89">
        <f t="shared" si="76"/>
        <v>0</v>
      </c>
      <c r="G185" s="89">
        <f t="shared" si="76"/>
        <v>-544098.35</v>
      </c>
      <c r="H185" s="89">
        <f t="shared" si="76"/>
        <v>-180961.53999999998</v>
      </c>
    </row>
    <row r="186" spans="1:8" ht="30" x14ac:dyDescent="0.3">
      <c r="A186" s="17" t="s">
        <v>208</v>
      </c>
      <c r="B186" s="20" t="s">
        <v>193</v>
      </c>
      <c r="C186" s="89">
        <f t="shared" ref="C186:H186" si="77">C187</f>
        <v>0</v>
      </c>
      <c r="D186" s="89">
        <f t="shared" si="77"/>
        <v>312682950</v>
      </c>
      <c r="E186" s="89">
        <f t="shared" si="77"/>
        <v>312682950</v>
      </c>
      <c r="F186" s="89">
        <f t="shared" si="77"/>
        <v>0</v>
      </c>
      <c r="G186" s="89">
        <f t="shared" si="77"/>
        <v>312682916</v>
      </c>
      <c r="H186" s="89">
        <f t="shared" si="77"/>
        <v>25034336</v>
      </c>
    </row>
    <row r="187" spans="1:8" x14ac:dyDescent="0.3">
      <c r="A187" s="17" t="s">
        <v>421</v>
      </c>
      <c r="B187" s="20" t="s">
        <v>413</v>
      </c>
      <c r="C187" s="89">
        <f t="shared" ref="C187:H187" si="78">C188+C198</f>
        <v>0</v>
      </c>
      <c r="D187" s="89">
        <f t="shared" si="78"/>
        <v>312682950</v>
      </c>
      <c r="E187" s="89">
        <f t="shared" si="78"/>
        <v>312682950</v>
      </c>
      <c r="F187" s="89">
        <f t="shared" si="78"/>
        <v>0</v>
      </c>
      <c r="G187" s="89">
        <f t="shared" si="78"/>
        <v>312682916</v>
      </c>
      <c r="H187" s="89">
        <f t="shared" si="78"/>
        <v>25034336</v>
      </c>
    </row>
    <row r="188" spans="1:8" ht="30" x14ac:dyDescent="0.3">
      <c r="A188" s="17" t="s">
        <v>423</v>
      </c>
      <c r="B188" s="20" t="s">
        <v>415</v>
      </c>
      <c r="C188" s="89">
        <f>C189+C192+C195+C190+C191+C196+C197</f>
        <v>0</v>
      </c>
      <c r="D188" s="89">
        <f t="shared" ref="D188:H188" si="79">D189+D192+D195+D190+D191+D196+D197</f>
        <v>311447950</v>
      </c>
      <c r="E188" s="89">
        <f t="shared" si="79"/>
        <v>311447950</v>
      </c>
      <c r="F188" s="89">
        <f t="shared" si="79"/>
        <v>0</v>
      </c>
      <c r="G188" s="89">
        <f t="shared" si="79"/>
        <v>311447916</v>
      </c>
      <c r="H188" s="89">
        <f t="shared" si="79"/>
        <v>25034336</v>
      </c>
    </row>
    <row r="189" spans="1:8" ht="30" x14ac:dyDescent="0.3">
      <c r="A189" s="17"/>
      <c r="B189" s="24" t="s">
        <v>484</v>
      </c>
      <c r="C189" s="89"/>
      <c r="D189" s="90">
        <v>284767840</v>
      </c>
      <c r="E189" s="90">
        <v>284767840</v>
      </c>
      <c r="F189" s="90"/>
      <c r="G189" s="89">
        <f>261787836+22980004</f>
        <v>284767840</v>
      </c>
      <c r="H189" s="89">
        <v>22980004</v>
      </c>
    </row>
    <row r="190" spans="1:8" ht="30" x14ac:dyDescent="0.3">
      <c r="A190" s="17"/>
      <c r="B190" s="24" t="s">
        <v>485</v>
      </c>
      <c r="C190" s="89"/>
      <c r="D190" s="90">
        <v>2260340</v>
      </c>
      <c r="E190" s="90">
        <v>2260340</v>
      </c>
      <c r="F190" s="90"/>
      <c r="G190" s="89">
        <f>2073878+186455</f>
        <v>2260333</v>
      </c>
      <c r="H190" s="89">
        <v>186455</v>
      </c>
    </row>
    <row r="191" spans="1:8" ht="30" x14ac:dyDescent="0.3">
      <c r="A191" s="17"/>
      <c r="B191" s="24" t="s">
        <v>486</v>
      </c>
      <c r="C191" s="89"/>
      <c r="D191" s="90">
        <v>637530</v>
      </c>
      <c r="E191" s="90">
        <v>637530</v>
      </c>
      <c r="F191" s="90"/>
      <c r="G191" s="89">
        <f>584502+53023</f>
        <v>637525</v>
      </c>
      <c r="H191" s="89">
        <v>53023</v>
      </c>
    </row>
    <row r="192" spans="1:8" ht="30" x14ac:dyDescent="0.3">
      <c r="A192" s="17"/>
      <c r="B192" s="24" t="s">
        <v>487</v>
      </c>
      <c r="C192" s="89">
        <f>C193+C194</f>
        <v>0</v>
      </c>
      <c r="D192" s="89">
        <f t="shared" ref="D192:H192" si="80">D193+D194</f>
        <v>20911900</v>
      </c>
      <c r="E192" s="89">
        <f t="shared" si="80"/>
        <v>20911900</v>
      </c>
      <c r="F192" s="89">
        <f t="shared" si="80"/>
        <v>0</v>
      </c>
      <c r="G192" s="89">
        <f t="shared" si="80"/>
        <v>20911886</v>
      </c>
      <c r="H192" s="89">
        <f t="shared" si="80"/>
        <v>1750703</v>
      </c>
    </row>
    <row r="193" spans="1:8" ht="75" x14ac:dyDescent="0.3">
      <c r="A193" s="17"/>
      <c r="B193" s="24" t="s">
        <v>416</v>
      </c>
      <c r="C193" s="89"/>
      <c r="D193" s="90">
        <v>9969010</v>
      </c>
      <c r="E193" s="90">
        <v>9969010</v>
      </c>
      <c r="F193" s="90"/>
      <c r="G193" s="89">
        <f>9142723+826281</f>
        <v>9969004</v>
      </c>
      <c r="H193" s="89">
        <v>826281</v>
      </c>
    </row>
    <row r="194" spans="1:8" ht="75" x14ac:dyDescent="0.3">
      <c r="A194" s="17"/>
      <c r="B194" s="24" t="s">
        <v>488</v>
      </c>
      <c r="C194" s="89"/>
      <c r="D194" s="90">
        <v>10942890</v>
      </c>
      <c r="E194" s="90">
        <v>10942890</v>
      </c>
      <c r="F194" s="90"/>
      <c r="G194" s="89">
        <f>10018460+924422</f>
        <v>10942882</v>
      </c>
      <c r="H194" s="89">
        <v>924422</v>
      </c>
    </row>
    <row r="195" spans="1:8" ht="45" x14ac:dyDescent="0.3">
      <c r="A195" s="17"/>
      <c r="B195" s="24" t="s">
        <v>489</v>
      </c>
      <c r="C195" s="89"/>
      <c r="D195" s="90"/>
      <c r="E195" s="90"/>
      <c r="F195" s="90"/>
      <c r="G195" s="89"/>
      <c r="H195" s="89"/>
    </row>
    <row r="196" spans="1:8" ht="45" x14ac:dyDescent="0.3">
      <c r="A196" s="17"/>
      <c r="B196" s="24" t="s">
        <v>490</v>
      </c>
      <c r="C196" s="89"/>
      <c r="D196" s="90">
        <v>2769100</v>
      </c>
      <c r="E196" s="90">
        <v>2769100</v>
      </c>
      <c r="F196" s="90"/>
      <c r="G196" s="89">
        <v>2769100</v>
      </c>
      <c r="H196" s="89"/>
    </row>
    <row r="197" spans="1:8" ht="45" x14ac:dyDescent="0.3">
      <c r="A197" s="17"/>
      <c r="B197" s="24" t="s">
        <v>507</v>
      </c>
      <c r="C197" s="89"/>
      <c r="D197" s="90">
        <v>101240</v>
      </c>
      <c r="E197" s="90">
        <v>101240</v>
      </c>
      <c r="F197" s="90"/>
      <c r="G197" s="89">
        <f>37081+64151</f>
        <v>101232</v>
      </c>
      <c r="H197" s="89">
        <v>64151</v>
      </c>
    </row>
    <row r="198" spans="1:8" x14ac:dyDescent="0.3">
      <c r="A198" s="17" t="s">
        <v>429</v>
      </c>
      <c r="B198" s="20" t="s">
        <v>491</v>
      </c>
      <c r="C198" s="89">
        <f>C199+C200</f>
        <v>0</v>
      </c>
      <c r="D198" s="89">
        <f t="shared" ref="D198:H198" si="81">D199+D200</f>
        <v>1235000</v>
      </c>
      <c r="E198" s="89">
        <f t="shared" si="81"/>
        <v>1235000</v>
      </c>
      <c r="F198" s="89">
        <f t="shared" si="81"/>
        <v>0</v>
      </c>
      <c r="G198" s="89">
        <f t="shared" si="81"/>
        <v>1235000</v>
      </c>
      <c r="H198" s="89">
        <f t="shared" si="81"/>
        <v>0</v>
      </c>
    </row>
    <row r="199" spans="1:8" ht="45" x14ac:dyDescent="0.3">
      <c r="A199" s="17"/>
      <c r="B199" s="24" t="s">
        <v>492</v>
      </c>
      <c r="C199" s="89"/>
      <c r="D199" s="90"/>
      <c r="E199" s="90"/>
      <c r="F199" s="90"/>
      <c r="G199" s="89"/>
      <c r="H199" s="89"/>
    </row>
    <row r="200" spans="1:8" ht="30" x14ac:dyDescent="0.3">
      <c r="A200" s="17"/>
      <c r="B200" s="24" t="s">
        <v>493</v>
      </c>
      <c r="C200" s="89"/>
      <c r="D200" s="90">
        <v>1235000</v>
      </c>
      <c r="E200" s="90">
        <v>1235000</v>
      </c>
      <c r="F200" s="90"/>
      <c r="G200" s="89">
        <v>1235000</v>
      </c>
      <c r="H200" s="89"/>
    </row>
    <row r="201" spans="1:8" x14ac:dyDescent="0.3">
      <c r="A201" s="17" t="s">
        <v>431</v>
      </c>
      <c r="B201" s="49" t="s">
        <v>419</v>
      </c>
      <c r="C201" s="93">
        <f>+C202</f>
        <v>0</v>
      </c>
      <c r="D201" s="93">
        <f t="shared" ref="D201:H203" si="82">+D202</f>
        <v>56142030</v>
      </c>
      <c r="E201" s="93">
        <f t="shared" si="82"/>
        <v>56142030</v>
      </c>
      <c r="F201" s="93">
        <f t="shared" si="82"/>
        <v>0</v>
      </c>
      <c r="G201" s="93">
        <f t="shared" si="82"/>
        <v>56135797</v>
      </c>
      <c r="H201" s="93">
        <f t="shared" si="82"/>
        <v>2095132</v>
      </c>
    </row>
    <row r="202" spans="1:8" ht="16.5" customHeight="1" x14ac:dyDescent="0.3">
      <c r="A202" s="17" t="s">
        <v>433</v>
      </c>
      <c r="B202" s="49" t="s">
        <v>189</v>
      </c>
      <c r="C202" s="93">
        <f>+C203</f>
        <v>0</v>
      </c>
      <c r="D202" s="93">
        <f t="shared" si="82"/>
        <v>56142030</v>
      </c>
      <c r="E202" s="93">
        <f t="shared" si="82"/>
        <v>56142030</v>
      </c>
      <c r="F202" s="93">
        <f t="shared" si="82"/>
        <v>0</v>
      </c>
      <c r="G202" s="93">
        <f t="shared" si="82"/>
        <v>56135797</v>
      </c>
      <c r="H202" s="93">
        <f t="shared" si="82"/>
        <v>2095132</v>
      </c>
    </row>
    <row r="203" spans="1:8" ht="16.5" customHeight="1" x14ac:dyDescent="0.3">
      <c r="A203" s="17" t="s">
        <v>435</v>
      </c>
      <c r="B203" s="20" t="s">
        <v>420</v>
      </c>
      <c r="C203" s="93">
        <f>+C204</f>
        <v>0</v>
      </c>
      <c r="D203" s="93">
        <f t="shared" si="82"/>
        <v>56142030</v>
      </c>
      <c r="E203" s="93">
        <f t="shared" si="82"/>
        <v>56142030</v>
      </c>
      <c r="F203" s="93">
        <f t="shared" si="82"/>
        <v>0</v>
      </c>
      <c r="G203" s="93">
        <f t="shared" si="82"/>
        <v>56135797</v>
      </c>
      <c r="H203" s="93">
        <f t="shared" si="82"/>
        <v>2095132</v>
      </c>
    </row>
    <row r="204" spans="1:8" ht="16.5" customHeight="1" x14ac:dyDescent="0.3">
      <c r="A204" s="22" t="s">
        <v>437</v>
      </c>
      <c r="B204" s="49" t="s">
        <v>422</v>
      </c>
      <c r="C204" s="88">
        <f t="shared" ref="C204:H204" si="83">C205</f>
        <v>0</v>
      </c>
      <c r="D204" s="88">
        <f t="shared" si="83"/>
        <v>56142030</v>
      </c>
      <c r="E204" s="88">
        <f t="shared" si="83"/>
        <v>56142030</v>
      </c>
      <c r="F204" s="88">
        <f t="shared" si="83"/>
        <v>0</v>
      </c>
      <c r="G204" s="88">
        <f t="shared" si="83"/>
        <v>56135797</v>
      </c>
      <c r="H204" s="88">
        <f t="shared" si="83"/>
        <v>2095132</v>
      </c>
    </row>
    <row r="205" spans="1:8" ht="16.5" customHeight="1" x14ac:dyDescent="0.3">
      <c r="A205" s="22" t="s">
        <v>439</v>
      </c>
      <c r="B205" s="49" t="s">
        <v>424</v>
      </c>
      <c r="C205" s="88">
        <f t="shared" ref="C205:H205" si="84">C207+C208+C209</f>
        <v>0</v>
      </c>
      <c r="D205" s="88">
        <f t="shared" si="84"/>
        <v>56142030</v>
      </c>
      <c r="E205" s="88">
        <f t="shared" si="84"/>
        <v>56142030</v>
      </c>
      <c r="F205" s="88">
        <f t="shared" si="84"/>
        <v>0</v>
      </c>
      <c r="G205" s="88">
        <f t="shared" si="84"/>
        <v>56135797</v>
      </c>
      <c r="H205" s="88">
        <f t="shared" si="84"/>
        <v>2095132</v>
      </c>
    </row>
    <row r="206" spans="1:8" ht="16.5" customHeight="1" x14ac:dyDescent="0.3">
      <c r="A206" s="17" t="s">
        <v>441</v>
      </c>
      <c r="B206" s="49" t="s">
        <v>425</v>
      </c>
      <c r="C206" s="88">
        <f t="shared" ref="C206:H206" si="85">C207</f>
        <v>0</v>
      </c>
      <c r="D206" s="88">
        <f t="shared" si="85"/>
        <v>43154970</v>
      </c>
      <c r="E206" s="88">
        <f t="shared" si="85"/>
        <v>43154970</v>
      </c>
      <c r="F206" s="88">
        <f t="shared" si="85"/>
        <v>0</v>
      </c>
      <c r="G206" s="88">
        <f t="shared" si="85"/>
        <v>43154966</v>
      </c>
      <c r="H206" s="88">
        <f t="shared" si="85"/>
        <v>1674744</v>
      </c>
    </row>
    <row r="207" spans="1:8" ht="16.5" customHeight="1" x14ac:dyDescent="0.3">
      <c r="A207" s="22" t="s">
        <v>443</v>
      </c>
      <c r="B207" s="50" t="s">
        <v>426</v>
      </c>
      <c r="C207" s="89"/>
      <c r="D207" s="90">
        <v>43154970</v>
      </c>
      <c r="E207" s="90">
        <v>43154970</v>
      </c>
      <c r="F207" s="90"/>
      <c r="G207" s="45">
        <f>41427924+52298+1674744</f>
        <v>43154966</v>
      </c>
      <c r="H207" s="45">
        <v>1674744</v>
      </c>
    </row>
    <row r="208" spans="1:8" ht="16.5" customHeight="1" x14ac:dyDescent="0.3">
      <c r="A208" s="22" t="s">
        <v>444</v>
      </c>
      <c r="B208" s="50" t="s">
        <v>427</v>
      </c>
      <c r="C208" s="89"/>
      <c r="D208" s="90">
        <v>12987060</v>
      </c>
      <c r="E208" s="90">
        <v>12987060</v>
      </c>
      <c r="F208" s="90"/>
      <c r="G208" s="45">
        <f>12481872+84343+420388</f>
        <v>12986603</v>
      </c>
      <c r="H208" s="45">
        <v>420388</v>
      </c>
    </row>
    <row r="209" spans="1:8" ht="16.5" customHeight="1" x14ac:dyDescent="0.3">
      <c r="A209" s="22"/>
      <c r="B209" s="28" t="s">
        <v>428</v>
      </c>
      <c r="C209" s="89"/>
      <c r="D209" s="90"/>
      <c r="E209" s="90"/>
      <c r="F209" s="90"/>
      <c r="G209" s="45">
        <v>-5772</v>
      </c>
      <c r="H209" s="45"/>
    </row>
    <row r="210" spans="1:8" ht="30" x14ac:dyDescent="0.3">
      <c r="A210" s="22" t="s">
        <v>211</v>
      </c>
      <c r="B210" s="51" t="s">
        <v>195</v>
      </c>
      <c r="C210" s="86">
        <f t="shared" ref="C210" si="86">C215+C211</f>
        <v>0</v>
      </c>
      <c r="D210" s="86">
        <f t="shared" ref="D210:H210" si="87">D215+D211</f>
        <v>0</v>
      </c>
      <c r="E210" s="86">
        <f t="shared" si="87"/>
        <v>0</v>
      </c>
      <c r="F210" s="86">
        <f t="shared" si="87"/>
        <v>0</v>
      </c>
      <c r="G210" s="86">
        <f t="shared" si="87"/>
        <v>0</v>
      </c>
      <c r="H210" s="86">
        <f t="shared" si="87"/>
        <v>0</v>
      </c>
    </row>
    <row r="211" spans="1:8" x14ac:dyDescent="0.3">
      <c r="A211" s="22" t="s">
        <v>446</v>
      </c>
      <c r="B211" s="51" t="s">
        <v>430</v>
      </c>
      <c r="C211" s="86">
        <f t="shared" ref="C211" si="88">C212+C213+C214</f>
        <v>0</v>
      </c>
      <c r="D211" s="86">
        <f t="shared" ref="D211:H211" si="89">D212+D213+D214</f>
        <v>0</v>
      </c>
      <c r="E211" s="86">
        <f t="shared" si="89"/>
        <v>0</v>
      </c>
      <c r="F211" s="86">
        <f t="shared" si="89"/>
        <v>0</v>
      </c>
      <c r="G211" s="86">
        <f t="shared" si="89"/>
        <v>0</v>
      </c>
      <c r="H211" s="86">
        <f t="shared" si="89"/>
        <v>0</v>
      </c>
    </row>
    <row r="212" spans="1:8" x14ac:dyDescent="0.3">
      <c r="A212" s="22" t="s">
        <v>447</v>
      </c>
      <c r="B212" s="51" t="s">
        <v>432</v>
      </c>
      <c r="C212" s="86"/>
      <c r="D212" s="90"/>
      <c r="E212" s="90"/>
      <c r="F212" s="90"/>
      <c r="G212" s="86"/>
      <c r="H212" s="86"/>
    </row>
    <row r="213" spans="1:8" x14ac:dyDescent="0.3">
      <c r="A213" s="22" t="s">
        <v>448</v>
      </c>
      <c r="B213" s="51" t="s">
        <v>434</v>
      </c>
      <c r="C213" s="86"/>
      <c r="D213" s="90"/>
      <c r="E213" s="90"/>
      <c r="F213" s="90"/>
      <c r="G213" s="86"/>
      <c r="H213" s="86"/>
    </row>
    <row r="214" spans="1:8" x14ac:dyDescent="0.3">
      <c r="A214" s="22" t="s">
        <v>449</v>
      </c>
      <c r="B214" s="51" t="s">
        <v>436</v>
      </c>
      <c r="C214" s="86"/>
      <c r="D214" s="90"/>
      <c r="E214" s="90"/>
      <c r="F214" s="90"/>
      <c r="G214" s="86"/>
      <c r="H214" s="86"/>
    </row>
    <row r="215" spans="1:8" x14ac:dyDescent="0.3">
      <c r="A215" s="22" t="s">
        <v>450</v>
      </c>
      <c r="B215" s="51" t="s">
        <v>438</v>
      </c>
      <c r="C215" s="86">
        <f t="shared" ref="C215:H215" si="90">C216+C217+C218</f>
        <v>0</v>
      </c>
      <c r="D215" s="86">
        <f t="shared" si="90"/>
        <v>0</v>
      </c>
      <c r="E215" s="86">
        <f t="shared" si="90"/>
        <v>0</v>
      </c>
      <c r="F215" s="86">
        <f t="shared" si="90"/>
        <v>0</v>
      </c>
      <c r="G215" s="86">
        <f t="shared" si="90"/>
        <v>0</v>
      </c>
      <c r="H215" s="86">
        <f t="shared" si="90"/>
        <v>0</v>
      </c>
    </row>
    <row r="216" spans="1:8" x14ac:dyDescent="0.3">
      <c r="A216" s="22" t="s">
        <v>451</v>
      </c>
      <c r="B216" s="52" t="s">
        <v>440</v>
      </c>
      <c r="C216" s="45"/>
      <c r="D216" s="90"/>
      <c r="E216" s="90"/>
      <c r="F216" s="90"/>
      <c r="G216" s="45"/>
      <c r="H216" s="45"/>
    </row>
    <row r="217" spans="1:8" x14ac:dyDescent="0.3">
      <c r="A217" s="22" t="s">
        <v>453</v>
      </c>
      <c r="B217" s="52" t="s">
        <v>442</v>
      </c>
      <c r="C217" s="45"/>
      <c r="D217" s="90"/>
      <c r="E217" s="90"/>
      <c r="F217" s="90"/>
      <c r="G217" s="45"/>
      <c r="H217" s="45"/>
    </row>
    <row r="218" spans="1:8" x14ac:dyDescent="0.3">
      <c r="A218" s="22" t="s">
        <v>455</v>
      </c>
      <c r="B218" s="52" t="s">
        <v>436</v>
      </c>
      <c r="C218" s="45"/>
      <c r="D218" s="90"/>
      <c r="E218" s="90"/>
      <c r="F218" s="90"/>
      <c r="G218" s="45"/>
      <c r="H218" s="45"/>
    </row>
    <row r="219" spans="1:8" x14ac:dyDescent="0.3">
      <c r="A219" s="22" t="s">
        <v>456</v>
      </c>
      <c r="B219" s="51" t="s">
        <v>445</v>
      </c>
      <c r="C219" s="86">
        <f>C220</f>
        <v>0</v>
      </c>
      <c r="D219" s="86">
        <f t="shared" ref="D219:H220" si="91">D220</f>
        <v>0</v>
      </c>
      <c r="E219" s="86">
        <f t="shared" si="91"/>
        <v>0</v>
      </c>
      <c r="F219" s="86">
        <f t="shared" si="91"/>
        <v>0</v>
      </c>
      <c r="G219" s="86">
        <f t="shared" si="91"/>
        <v>0</v>
      </c>
      <c r="H219" s="86">
        <f t="shared" si="91"/>
        <v>0</v>
      </c>
    </row>
    <row r="220" spans="1:8" x14ac:dyDescent="0.3">
      <c r="A220" s="22" t="s">
        <v>457</v>
      </c>
      <c r="B220" s="51" t="s">
        <v>189</v>
      </c>
      <c r="C220" s="86">
        <f>C221</f>
        <v>0</v>
      </c>
      <c r="D220" s="86">
        <f t="shared" si="91"/>
        <v>0</v>
      </c>
      <c r="E220" s="86">
        <f t="shared" si="91"/>
        <v>0</v>
      </c>
      <c r="F220" s="86">
        <f t="shared" si="91"/>
        <v>0</v>
      </c>
      <c r="G220" s="86">
        <f t="shared" si="91"/>
        <v>0</v>
      </c>
      <c r="H220" s="86">
        <f t="shared" si="91"/>
        <v>0</v>
      </c>
    </row>
    <row r="221" spans="1:8" ht="30" x14ac:dyDescent="0.3">
      <c r="A221" s="22" t="s">
        <v>458</v>
      </c>
      <c r="B221" s="51" t="s">
        <v>195</v>
      </c>
      <c r="C221" s="86">
        <f t="shared" ref="C221" si="92">C224</f>
        <v>0</v>
      </c>
      <c r="D221" s="86">
        <f t="shared" ref="D221:H221" si="93">D224</f>
        <v>0</v>
      </c>
      <c r="E221" s="86">
        <f t="shared" si="93"/>
        <v>0</v>
      </c>
      <c r="F221" s="86">
        <f t="shared" si="93"/>
        <v>0</v>
      </c>
      <c r="G221" s="86">
        <f t="shared" si="93"/>
        <v>0</v>
      </c>
      <c r="H221" s="86">
        <f t="shared" si="93"/>
        <v>0</v>
      </c>
    </row>
    <row r="222" spans="1:8" x14ac:dyDescent="0.3">
      <c r="A222" s="22" t="s">
        <v>459</v>
      </c>
      <c r="B222" s="51" t="s">
        <v>206</v>
      </c>
      <c r="C222" s="86">
        <f t="shared" ref="C222:C227" si="94">C223</f>
        <v>0</v>
      </c>
      <c r="D222" s="86">
        <f t="shared" ref="D222:H224" si="95">D223</f>
        <v>0</v>
      </c>
      <c r="E222" s="86">
        <f t="shared" si="95"/>
        <v>0</v>
      </c>
      <c r="F222" s="86">
        <f t="shared" si="95"/>
        <v>0</v>
      </c>
      <c r="G222" s="86">
        <f t="shared" si="95"/>
        <v>0</v>
      </c>
      <c r="H222" s="86">
        <f t="shared" si="95"/>
        <v>0</v>
      </c>
    </row>
    <row r="223" spans="1:8" x14ac:dyDescent="0.3">
      <c r="A223" s="22" t="s">
        <v>460</v>
      </c>
      <c r="B223" s="51" t="s">
        <v>189</v>
      </c>
      <c r="C223" s="86">
        <f t="shared" si="94"/>
        <v>0</v>
      </c>
      <c r="D223" s="86">
        <f t="shared" si="95"/>
        <v>0</v>
      </c>
      <c r="E223" s="86">
        <f t="shared" si="95"/>
        <v>0</v>
      </c>
      <c r="F223" s="86">
        <f t="shared" si="95"/>
        <v>0</v>
      </c>
      <c r="G223" s="86">
        <f t="shared" si="95"/>
        <v>0</v>
      </c>
      <c r="H223" s="86">
        <f t="shared" si="95"/>
        <v>0</v>
      </c>
    </row>
    <row r="224" spans="1:8" ht="30" x14ac:dyDescent="0.3">
      <c r="A224" s="22" t="s">
        <v>461</v>
      </c>
      <c r="B224" s="52" t="s">
        <v>195</v>
      </c>
      <c r="C224" s="86">
        <f t="shared" si="94"/>
        <v>0</v>
      </c>
      <c r="D224" s="86">
        <f t="shared" si="95"/>
        <v>0</v>
      </c>
      <c r="E224" s="86">
        <f t="shared" si="95"/>
        <v>0</v>
      </c>
      <c r="F224" s="86">
        <f t="shared" si="95"/>
        <v>0</v>
      </c>
      <c r="G224" s="86">
        <f t="shared" si="95"/>
        <v>0</v>
      </c>
      <c r="H224" s="86">
        <f t="shared" si="95"/>
        <v>0</v>
      </c>
    </row>
    <row r="225" spans="1:8" x14ac:dyDescent="0.3">
      <c r="A225" s="22" t="s">
        <v>462</v>
      </c>
      <c r="B225" s="51" t="s">
        <v>438</v>
      </c>
      <c r="C225" s="86">
        <f t="shared" si="94"/>
        <v>0</v>
      </c>
      <c r="D225" s="86">
        <f t="shared" ref="D225:H227" si="96">D226</f>
        <v>0</v>
      </c>
      <c r="E225" s="86">
        <f t="shared" si="96"/>
        <v>0</v>
      </c>
      <c r="F225" s="86">
        <f t="shared" si="96"/>
        <v>0</v>
      </c>
      <c r="G225" s="86">
        <f t="shared" si="96"/>
        <v>0</v>
      </c>
      <c r="H225" s="86">
        <f t="shared" si="96"/>
        <v>0</v>
      </c>
    </row>
    <row r="226" spans="1:8" x14ac:dyDescent="0.3">
      <c r="A226" s="22" t="s">
        <v>463</v>
      </c>
      <c r="B226" s="51" t="s">
        <v>442</v>
      </c>
      <c r="C226" s="86">
        <f t="shared" si="94"/>
        <v>0</v>
      </c>
      <c r="D226" s="86">
        <f t="shared" si="96"/>
        <v>0</v>
      </c>
      <c r="E226" s="86">
        <f t="shared" si="96"/>
        <v>0</v>
      </c>
      <c r="F226" s="86">
        <f t="shared" si="96"/>
        <v>0</v>
      </c>
      <c r="G226" s="86">
        <f t="shared" si="96"/>
        <v>0</v>
      </c>
      <c r="H226" s="86">
        <f t="shared" si="96"/>
        <v>0</v>
      </c>
    </row>
    <row r="227" spans="1:8" x14ac:dyDescent="0.3">
      <c r="A227" s="22" t="s">
        <v>464</v>
      </c>
      <c r="B227" s="51" t="s">
        <v>452</v>
      </c>
      <c r="C227" s="86">
        <f t="shared" si="94"/>
        <v>0</v>
      </c>
      <c r="D227" s="86">
        <f t="shared" si="96"/>
        <v>0</v>
      </c>
      <c r="E227" s="86">
        <f t="shared" si="96"/>
        <v>0</v>
      </c>
      <c r="F227" s="86">
        <f t="shared" si="96"/>
        <v>0</v>
      </c>
      <c r="G227" s="86">
        <f t="shared" si="96"/>
        <v>0</v>
      </c>
      <c r="H227" s="86">
        <f t="shared" si="96"/>
        <v>0</v>
      </c>
    </row>
    <row r="228" spans="1:8" x14ac:dyDescent="0.3">
      <c r="A228" s="22" t="s">
        <v>465</v>
      </c>
      <c r="B228" s="52" t="s">
        <v>454</v>
      </c>
      <c r="C228" s="45"/>
      <c r="D228" s="90"/>
      <c r="E228" s="90"/>
      <c r="F228" s="90"/>
      <c r="G228" s="45"/>
      <c r="H228" s="45"/>
    </row>
    <row r="230" spans="1:8" x14ac:dyDescent="0.3">
      <c r="B230" s="5" t="s">
        <v>509</v>
      </c>
      <c r="D230" s="46" t="s">
        <v>512</v>
      </c>
      <c r="E230" s="46"/>
      <c r="F230" s="5"/>
      <c r="G230" s="5"/>
    </row>
    <row r="231" spans="1:8" x14ac:dyDescent="0.3">
      <c r="B231" s="5" t="s">
        <v>510</v>
      </c>
      <c r="D231" s="46" t="s">
        <v>511</v>
      </c>
      <c r="E231" s="46"/>
      <c r="F231" s="5"/>
      <c r="G231" s="5"/>
    </row>
  </sheetData>
  <protectedRanges>
    <protectedRange sqref="B2:B3 C1:C3" name="Zonă1_1" securityDescriptor="O:WDG:WDD:(A;;CC;;;WD)"/>
    <protectedRange sqref="G118:H126 G46:H51 G158:H161 G70:H70 G37:H40 G128:H132 G103:H108 G62:H66 G81:H85 G92:H93 G54:H57 G156:H156 G111:H116 G25:H33 G35:H35 G95:H100 G139:H141" name="Zonă3"/>
    <protectedRange sqref="B1" name="Zonă1_1_1_1_1_1" securityDescriptor="O:WDG:WDD:(A;;CC;;;WD)"/>
  </protectedRanges>
  <printOptions horizontalCentered="1"/>
  <pageMargins left="0.75" right="0.75" top="0.21" bottom="0.18" header="0.17" footer="0.17"/>
  <pageSetup scale="5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Dut Mira</cp:lastModifiedBy>
  <cp:lastPrinted>2022-01-12T11:31:48Z</cp:lastPrinted>
  <dcterms:created xsi:type="dcterms:W3CDTF">2020-08-07T11:14:11Z</dcterms:created>
  <dcterms:modified xsi:type="dcterms:W3CDTF">2022-01-18T09:09:45Z</dcterms:modified>
</cp:coreProperties>
</file>